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3.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4.xml" ContentType="application/vnd.openxmlformats-officedocument.drawing+xml"/>
  <Override PartName="/xl/tables/table1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codeName="ThisWorkbook"/>
  <xr:revisionPtr revIDLastSave="0" documentId="13_ncr:11_{702DC6BB-A99A-48F9-84D7-0CEC00EBD441}" xr6:coauthVersionLast="47" xr6:coauthVersionMax="47" xr10:uidLastSave="{00000000-0000-0000-0000-000000000000}"/>
  <bookViews>
    <workbookView xWindow="-120" yWindow="285" windowWidth="29040" windowHeight="15465" tabRatio="756" activeTab="1" xr2:uid="{00000000-000D-0000-FFFF-FFFF00000000}"/>
  </bookViews>
  <sheets>
    <sheet name="התחלה" sheetId="6" r:id="rId1"/>
    <sheet name="הוצאות מתוכננות" sheetId="2" r:id="rId2"/>
    <sheet name="הוצאות בפועל" sheetId="3" r:id="rId3"/>
    <sheet name="שונות הוצאות" sheetId="4" r:id="rId4"/>
    <sheet name="ניתוח הוצאות" sheetId="5" r:id="rId5"/>
  </sheets>
  <definedNames>
    <definedName name="worksheet_title">'הוצאות מתוכננות'!$K$2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3" l="1"/>
  <c r="K2" i="4"/>
  <c r="E3" i="5"/>
  <c r="B2" i="3" l="1"/>
  <c r="B2" i="5" l="1"/>
  <c r="B2" i="4"/>
  <c r="I7" i="3" l="1"/>
  <c r="J7" i="3"/>
  <c r="K7" i="3"/>
  <c r="L7" i="3"/>
  <c r="M7" i="3"/>
  <c r="N7" i="3"/>
  <c r="C32" i="4"/>
  <c r="D32" i="4"/>
  <c r="E32" i="4"/>
  <c r="F32" i="4"/>
  <c r="G32" i="4"/>
  <c r="H32" i="4"/>
  <c r="I32" i="4"/>
  <c r="J32" i="4"/>
  <c r="K32" i="4"/>
  <c r="L32" i="4"/>
  <c r="M32" i="4"/>
  <c r="N32" i="4"/>
  <c r="D31" i="4"/>
  <c r="E31" i="4"/>
  <c r="F31" i="4"/>
  <c r="G31" i="4"/>
  <c r="H31" i="4"/>
  <c r="I31" i="4"/>
  <c r="J31" i="4"/>
  <c r="K31" i="4"/>
  <c r="L31" i="4"/>
  <c r="M31" i="4"/>
  <c r="N31" i="4"/>
  <c r="C31" i="4"/>
  <c r="C23" i="4"/>
  <c r="D23" i="4"/>
  <c r="E23" i="4"/>
  <c r="F23" i="4"/>
  <c r="G23" i="4"/>
  <c r="H23" i="4"/>
  <c r="I23" i="4"/>
  <c r="J23" i="4"/>
  <c r="K23" i="4"/>
  <c r="L23" i="4"/>
  <c r="M23" i="4"/>
  <c r="N23" i="4"/>
  <c r="C24" i="4"/>
  <c r="D24" i="4"/>
  <c r="E24" i="4"/>
  <c r="F24" i="4"/>
  <c r="G24" i="4"/>
  <c r="H24" i="4"/>
  <c r="I24" i="4"/>
  <c r="J24" i="4"/>
  <c r="K24" i="4"/>
  <c r="L24" i="4"/>
  <c r="M24" i="4"/>
  <c r="N24" i="4"/>
  <c r="C25" i="4"/>
  <c r="D25" i="4"/>
  <c r="E25" i="4"/>
  <c r="F25" i="4"/>
  <c r="G25" i="4"/>
  <c r="H25" i="4"/>
  <c r="I25" i="4"/>
  <c r="J25" i="4"/>
  <c r="K25" i="4"/>
  <c r="L25" i="4"/>
  <c r="M25" i="4"/>
  <c r="N25" i="4"/>
  <c r="C26" i="4"/>
  <c r="D26" i="4"/>
  <c r="E26" i="4"/>
  <c r="F26" i="4"/>
  <c r="G26" i="4"/>
  <c r="H26" i="4"/>
  <c r="I26" i="4"/>
  <c r="J26" i="4"/>
  <c r="K26" i="4"/>
  <c r="L26" i="4"/>
  <c r="M26" i="4"/>
  <c r="N26" i="4"/>
  <c r="C27" i="4"/>
  <c r="D27" i="4"/>
  <c r="E27" i="4"/>
  <c r="F27" i="4"/>
  <c r="G27" i="4"/>
  <c r="H27" i="4"/>
  <c r="I27" i="4"/>
  <c r="J27" i="4"/>
  <c r="K27" i="4"/>
  <c r="L27" i="4"/>
  <c r="M27" i="4"/>
  <c r="N27" i="4"/>
  <c r="D22" i="4"/>
  <c r="E22" i="4"/>
  <c r="F22" i="4"/>
  <c r="G22" i="4"/>
  <c r="H22" i="4"/>
  <c r="I22" i="4"/>
  <c r="J22" i="4"/>
  <c r="K22" i="4"/>
  <c r="L22" i="4"/>
  <c r="M22" i="4"/>
  <c r="N22" i="4"/>
  <c r="C22" i="4"/>
  <c r="D6" i="4"/>
  <c r="E6" i="4"/>
  <c r="F6" i="4"/>
  <c r="G6" i="4"/>
  <c r="H6" i="4"/>
  <c r="I6" i="4"/>
  <c r="J6" i="4"/>
  <c r="K6" i="4"/>
  <c r="L6" i="4"/>
  <c r="M6" i="4"/>
  <c r="N6" i="4"/>
  <c r="C6" i="4"/>
  <c r="C12" i="4"/>
  <c r="D12" i="4"/>
  <c r="E12" i="4"/>
  <c r="F12" i="4"/>
  <c r="G12" i="4"/>
  <c r="H12" i="4"/>
  <c r="I12" i="4"/>
  <c r="J12" i="4"/>
  <c r="K12" i="4"/>
  <c r="L12" i="4"/>
  <c r="M12" i="4"/>
  <c r="N12" i="4"/>
  <c r="C13" i="4"/>
  <c r="D13" i="4"/>
  <c r="E13" i="4"/>
  <c r="F13" i="4"/>
  <c r="G13" i="4"/>
  <c r="H13" i="4"/>
  <c r="I13" i="4"/>
  <c r="J13" i="4"/>
  <c r="K13" i="4"/>
  <c r="L13" i="4"/>
  <c r="M13" i="4"/>
  <c r="N13" i="4"/>
  <c r="C14" i="4"/>
  <c r="D14" i="4"/>
  <c r="E14" i="4"/>
  <c r="F14" i="4"/>
  <c r="G14" i="4"/>
  <c r="H14" i="4"/>
  <c r="I14" i="4"/>
  <c r="J14" i="4"/>
  <c r="K14" i="4"/>
  <c r="L14" i="4"/>
  <c r="M14" i="4"/>
  <c r="N14" i="4"/>
  <c r="C15" i="4"/>
  <c r="D15" i="4"/>
  <c r="E15" i="4"/>
  <c r="F15" i="4"/>
  <c r="G15" i="4"/>
  <c r="H15" i="4"/>
  <c r="I15" i="4"/>
  <c r="J15" i="4"/>
  <c r="K15" i="4"/>
  <c r="L15" i="4"/>
  <c r="M15" i="4"/>
  <c r="N15" i="4"/>
  <c r="C16" i="4"/>
  <c r="D16" i="4"/>
  <c r="E16" i="4"/>
  <c r="F16" i="4"/>
  <c r="G16" i="4"/>
  <c r="H16" i="4"/>
  <c r="I16" i="4"/>
  <c r="J16" i="4"/>
  <c r="K16" i="4"/>
  <c r="L16" i="4"/>
  <c r="M16" i="4"/>
  <c r="N16" i="4"/>
  <c r="C17" i="4"/>
  <c r="D17" i="4"/>
  <c r="E17" i="4"/>
  <c r="F17" i="4"/>
  <c r="G17" i="4"/>
  <c r="H17" i="4"/>
  <c r="I17" i="4"/>
  <c r="J17" i="4"/>
  <c r="K17" i="4"/>
  <c r="L17" i="4"/>
  <c r="M17" i="4"/>
  <c r="N17" i="4"/>
  <c r="C18" i="4"/>
  <c r="D18" i="4"/>
  <c r="E18" i="4"/>
  <c r="F18" i="4"/>
  <c r="G18" i="4"/>
  <c r="H18" i="4"/>
  <c r="I18" i="4"/>
  <c r="J18" i="4"/>
  <c r="K18" i="4"/>
  <c r="L18" i="4"/>
  <c r="M18" i="4"/>
  <c r="N18" i="4"/>
  <c r="D11" i="4"/>
  <c r="E11" i="4"/>
  <c r="F11" i="4"/>
  <c r="G11" i="4"/>
  <c r="H11" i="4"/>
  <c r="I11" i="4"/>
  <c r="J11" i="4"/>
  <c r="K11" i="4"/>
  <c r="L11" i="4"/>
  <c r="M11" i="4"/>
  <c r="N11" i="4"/>
  <c r="C11" i="4"/>
  <c r="D19" i="3"/>
  <c r="E19" i="3"/>
  <c r="F19" i="3"/>
  <c r="G19" i="3"/>
  <c r="H19" i="3"/>
  <c r="I19" i="3"/>
  <c r="J19" i="3"/>
  <c r="K19" i="3"/>
  <c r="L19" i="3"/>
  <c r="M19" i="3"/>
  <c r="N19" i="3"/>
  <c r="D28" i="3"/>
  <c r="E28" i="3"/>
  <c r="F28" i="3"/>
  <c r="G28" i="3"/>
  <c r="H28" i="3"/>
  <c r="I28" i="3"/>
  <c r="J28" i="3"/>
  <c r="K28" i="3"/>
  <c r="L28" i="3"/>
  <c r="M28" i="3"/>
  <c r="N28" i="3"/>
  <c r="D33" i="3"/>
  <c r="E33" i="3"/>
  <c r="F33" i="3"/>
  <c r="G33" i="3"/>
  <c r="H33" i="3"/>
  <c r="I33" i="3"/>
  <c r="J33" i="3"/>
  <c r="K33" i="3"/>
  <c r="L33" i="3"/>
  <c r="M33" i="3"/>
  <c r="N33" i="3"/>
  <c r="C33" i="3"/>
  <c r="C28" i="3"/>
  <c r="C19" i="3"/>
  <c r="D33" i="2"/>
  <c r="E33" i="2"/>
  <c r="F33" i="2"/>
  <c r="G33" i="2"/>
  <c r="H33" i="2"/>
  <c r="I33" i="2"/>
  <c r="J33" i="2"/>
  <c r="K33" i="2"/>
  <c r="L33" i="2"/>
  <c r="M33" i="2"/>
  <c r="N33" i="2"/>
  <c r="C33" i="2"/>
  <c r="D28" i="2"/>
  <c r="E28" i="2"/>
  <c r="F28" i="2"/>
  <c r="G28" i="2"/>
  <c r="H28" i="2"/>
  <c r="I28" i="2"/>
  <c r="J28" i="2"/>
  <c r="K28" i="2"/>
  <c r="L28" i="2"/>
  <c r="M28" i="2"/>
  <c r="N28" i="2"/>
  <c r="C28" i="2"/>
  <c r="D19" i="2"/>
  <c r="E19" i="2"/>
  <c r="F19" i="2"/>
  <c r="G19" i="2"/>
  <c r="H19" i="2"/>
  <c r="I19" i="2"/>
  <c r="J19" i="2"/>
  <c r="K19" i="2"/>
  <c r="L19" i="2"/>
  <c r="M19" i="2"/>
  <c r="N19" i="2"/>
  <c r="C19" i="2"/>
  <c r="O22" i="4" l="1"/>
  <c r="O24" i="4"/>
  <c r="O6" i="4"/>
  <c r="O23" i="4"/>
  <c r="O32" i="4"/>
  <c r="O27" i="4"/>
  <c r="O26" i="4"/>
  <c r="O25" i="4"/>
  <c r="O31" i="4"/>
  <c r="O17" i="4"/>
  <c r="O16" i="4"/>
  <c r="O15" i="4"/>
  <c r="O14" i="4"/>
  <c r="O12" i="4"/>
  <c r="O18" i="4"/>
  <c r="O13" i="4"/>
  <c r="O11" i="4"/>
  <c r="B10" i="5"/>
  <c r="B9" i="5"/>
  <c r="B8" i="5"/>
  <c r="B7" i="5"/>
  <c r="N33" i="4"/>
  <c r="M33" i="4"/>
  <c r="L33" i="4"/>
  <c r="K33" i="4"/>
  <c r="J33" i="4"/>
  <c r="I33" i="4"/>
  <c r="H33" i="4"/>
  <c r="G33" i="4"/>
  <c r="F33" i="4"/>
  <c r="E33" i="4"/>
  <c r="D33" i="4"/>
  <c r="C33" i="4"/>
  <c r="N28" i="4"/>
  <c r="M28" i="4"/>
  <c r="L28" i="4"/>
  <c r="K28" i="4"/>
  <c r="J28" i="4"/>
  <c r="I28" i="4"/>
  <c r="H28" i="4"/>
  <c r="G28" i="4"/>
  <c r="F28" i="4"/>
  <c r="E28" i="4"/>
  <c r="D28" i="4"/>
  <c r="C28" i="4"/>
  <c r="N19" i="4"/>
  <c r="M19" i="4"/>
  <c r="L19" i="4"/>
  <c r="K19" i="4"/>
  <c r="J19" i="4"/>
  <c r="I19" i="4"/>
  <c r="H19" i="4"/>
  <c r="G19" i="4"/>
  <c r="F19" i="4"/>
  <c r="E19" i="4"/>
  <c r="D19" i="4"/>
  <c r="C19" i="4"/>
  <c r="O32" i="3"/>
  <c r="O31" i="3"/>
  <c r="O27" i="3"/>
  <c r="O26" i="3"/>
  <c r="O25" i="3"/>
  <c r="O24" i="3"/>
  <c r="O23" i="3"/>
  <c r="O22" i="3"/>
  <c r="O18" i="3"/>
  <c r="O17" i="3"/>
  <c r="O16" i="3"/>
  <c r="O15" i="3"/>
  <c r="O14" i="3"/>
  <c r="O13" i="3"/>
  <c r="O12" i="3"/>
  <c r="O11" i="3"/>
  <c r="N8" i="3"/>
  <c r="N36" i="3" s="1"/>
  <c r="M8" i="3"/>
  <c r="M36" i="3" s="1"/>
  <c r="L8" i="3"/>
  <c r="L36" i="3" s="1"/>
  <c r="K8" i="3"/>
  <c r="K36" i="3" s="1"/>
  <c r="J8" i="3"/>
  <c r="J36" i="3" s="1"/>
  <c r="I8" i="3"/>
  <c r="I36" i="3" s="1"/>
  <c r="H7" i="3"/>
  <c r="H8" i="3" s="1"/>
  <c r="H36" i="3" s="1"/>
  <c r="G7" i="3"/>
  <c r="G8" i="3" s="1"/>
  <c r="G36" i="3" s="1"/>
  <c r="F7" i="3"/>
  <c r="F8" i="3" s="1"/>
  <c r="F36" i="3" s="1"/>
  <c r="E7" i="3"/>
  <c r="E8" i="3" s="1"/>
  <c r="E36" i="3" s="1"/>
  <c r="D7" i="3"/>
  <c r="D8" i="3" s="1"/>
  <c r="D36" i="3" s="1"/>
  <c r="C7" i="3"/>
  <c r="C8" i="3" s="1"/>
  <c r="C36" i="3" s="1"/>
  <c r="O6" i="3"/>
  <c r="O32" i="2"/>
  <c r="O31" i="2"/>
  <c r="O33" i="2" s="1"/>
  <c r="O27" i="2"/>
  <c r="O26" i="2"/>
  <c r="O25" i="2"/>
  <c r="O24" i="2"/>
  <c r="O23" i="2"/>
  <c r="O22" i="2"/>
  <c r="O18" i="2"/>
  <c r="O17" i="2"/>
  <c r="O16" i="2"/>
  <c r="O15" i="2"/>
  <c r="O14" i="2"/>
  <c r="O13" i="2"/>
  <c r="O12" i="2"/>
  <c r="O11" i="2"/>
  <c r="N7" i="2"/>
  <c r="M7" i="2"/>
  <c r="L7" i="2"/>
  <c r="K7" i="2"/>
  <c r="J7" i="2"/>
  <c r="I7" i="2"/>
  <c r="H7" i="2"/>
  <c r="G7" i="2"/>
  <c r="F7" i="2"/>
  <c r="E7" i="2"/>
  <c r="D7" i="2"/>
  <c r="C7" i="2"/>
  <c r="O6" i="2"/>
  <c r="J8" i="2" l="1"/>
  <c r="J36" i="2" s="1"/>
  <c r="J7" i="4"/>
  <c r="J8" i="4" s="1"/>
  <c r="J36" i="4" s="1"/>
  <c r="L8" i="2"/>
  <c r="L36" i="2" s="1"/>
  <c r="L7" i="4"/>
  <c r="L8" i="4" s="1"/>
  <c r="L36" i="4" s="1"/>
  <c r="G8" i="2"/>
  <c r="G36" i="2" s="1"/>
  <c r="G7" i="4"/>
  <c r="G8" i="4" s="1"/>
  <c r="G36" i="4" s="1"/>
  <c r="H8" i="2"/>
  <c r="H36" i="2" s="1"/>
  <c r="H7" i="4"/>
  <c r="H8" i="4" s="1"/>
  <c r="H36" i="4" s="1"/>
  <c r="N8" i="2"/>
  <c r="N36" i="2" s="1"/>
  <c r="N7" i="4"/>
  <c r="N8" i="4" s="1"/>
  <c r="N36" i="4" s="1"/>
  <c r="D8" i="2"/>
  <c r="D36" i="2" s="1"/>
  <c r="D7" i="4"/>
  <c r="D8" i="4" s="1"/>
  <c r="D36" i="4" s="1"/>
  <c r="E7" i="4"/>
  <c r="E8" i="4" s="1"/>
  <c r="E36" i="4" s="1"/>
  <c r="E8" i="2"/>
  <c r="E36" i="2" s="1"/>
  <c r="K8" i="2"/>
  <c r="K36" i="2" s="1"/>
  <c r="K7" i="4"/>
  <c r="K8" i="4" s="1"/>
  <c r="K36" i="4" s="1"/>
  <c r="F7" i="4"/>
  <c r="F8" i="4" s="1"/>
  <c r="F36" i="4" s="1"/>
  <c r="F8" i="2"/>
  <c r="F36" i="2" s="1"/>
  <c r="M8" i="2"/>
  <c r="M36" i="2" s="1"/>
  <c r="M7" i="4"/>
  <c r="M8" i="4" s="1"/>
  <c r="M36" i="4" s="1"/>
  <c r="C7" i="4"/>
  <c r="C8" i="4" s="1"/>
  <c r="C36" i="4" s="1"/>
  <c r="C8" i="2"/>
  <c r="C36" i="2" s="1"/>
  <c r="I7" i="4"/>
  <c r="I8" i="4" s="1"/>
  <c r="I36" i="4" s="1"/>
  <c r="I8" i="2"/>
  <c r="I36" i="2" s="1"/>
  <c r="O33" i="3"/>
  <c r="O28" i="3"/>
  <c r="D8" i="5" s="1"/>
  <c r="O19" i="3"/>
  <c r="D7" i="5" s="1"/>
  <c r="C9" i="5"/>
  <c r="O28" i="2"/>
  <c r="C8" i="5" s="1"/>
  <c r="O19" i="2"/>
  <c r="C7" i="5" s="1"/>
  <c r="O7" i="3"/>
  <c r="O8" i="3" s="1"/>
  <c r="D6" i="5" s="1"/>
  <c r="O33" i="4"/>
  <c r="O7" i="2"/>
  <c r="O8" i="2" s="1"/>
  <c r="C6" i="5" s="1"/>
  <c r="E37" i="2" l="1"/>
  <c r="D37" i="2"/>
  <c r="J37" i="2"/>
  <c r="O7" i="4"/>
  <c r="O8" i="4" s="1"/>
  <c r="O36" i="2"/>
  <c r="I37" i="2"/>
  <c r="C37" i="2"/>
  <c r="F37" i="2"/>
  <c r="E8" i="5"/>
  <c r="F8" i="5" s="1"/>
  <c r="D37" i="4"/>
  <c r="J37" i="4"/>
  <c r="M37" i="4"/>
  <c r="H37" i="4"/>
  <c r="N37" i="4"/>
  <c r="C37" i="4"/>
  <c r="E37" i="4"/>
  <c r="K37" i="4"/>
  <c r="F37" i="4"/>
  <c r="L37" i="4"/>
  <c r="G37" i="4"/>
  <c r="I37" i="4"/>
  <c r="O19" i="4"/>
  <c r="O28" i="4"/>
  <c r="D9" i="5"/>
  <c r="E9" i="5" s="1"/>
  <c r="F9" i="5" s="1"/>
  <c r="O36" i="3"/>
  <c r="K37" i="2"/>
  <c r="G37" i="3"/>
  <c r="M37" i="3"/>
  <c r="J37" i="3"/>
  <c r="F37" i="3"/>
  <c r="H37" i="3"/>
  <c r="N37" i="3"/>
  <c r="I37" i="3"/>
  <c r="C37" i="3"/>
  <c r="D37" i="3"/>
  <c r="E37" i="3"/>
  <c r="K37" i="3"/>
  <c r="L37" i="3"/>
  <c r="E7" i="5"/>
  <c r="F7" i="5" s="1"/>
  <c r="N37" i="2"/>
  <c r="H37" i="2"/>
  <c r="M37" i="2"/>
  <c r="L37" i="2"/>
  <c r="G37" i="2"/>
  <c r="E6" i="5"/>
  <c r="F6" i="5" s="1"/>
  <c r="C10" i="5" l="1"/>
  <c r="D10" i="5"/>
  <c r="O36" i="4"/>
  <c r="E10" i="5" l="1"/>
  <c r="F10" i="5" s="1"/>
</calcChain>
</file>

<file path=xl/sharedStrings.xml><?xml version="1.0" encoding="utf-8"?>
<sst xmlns="http://schemas.openxmlformats.org/spreadsheetml/2006/main" count="348" uniqueCount="58">
  <si>
    <t>אודות תבנית זו</t>
  </si>
  <si>
    <t>השתמש בחוברת עבודה זו של תקציב הוצאות עסקיות זו כדי לעקוב אחר ההוצאות המתוכננות, ההוצאות בפועל והשונות.</t>
  </si>
  <si>
    <t>מלא את שם החברה והוסף את סמל החברה.</t>
  </si>
  <si>
    <t>הזן פרטים בטבלאות בגליון העבודה 'הוצאות מתוכננות' ובגליון העבודה 'הוצאות בפועל'.</t>
  </si>
  <si>
    <t>הטבלאות מתעדכנות באופן אוטומטי בגליון העבודה 'שונות הוצאות'. התרשימים מתעדכנים באופן אוטומטי בגליון העבודה 'ניתוח הוצאות'</t>
  </si>
  <si>
    <t>הערה: </t>
  </si>
  <si>
    <t>הוראות נוספות סופקו בעמודה A בכל גליון עבודה. טקסט זה הוסתר במכוון. כדי להסיר את הטקסט, בחר את עמודה A ולאחר מכן הקש DELETE. כדי לבטל את הסתרת הטקסט, בחר את עמודה A ולאחר מכן שנה את צבע הגופן.</t>
  </si>
  <si>
    <t>לקבלת מידע נוסף על הטבלאות, הקש SHIFT ולאחר מכן F10 בתוך טבלה, בחר את האפשרות 'טבלה' ולאחר מכן בחר 'טקסט חלופי'</t>
  </si>
  <si>
    <t>שם החברה</t>
  </si>
  <si>
    <t>הוצאות מתוכננות</t>
  </si>
  <si>
    <t>עלויות עובדים</t>
  </si>
  <si>
    <t>שכר</t>
  </si>
  <si>
    <t>הטבות</t>
  </si>
  <si>
    <t>סכום ביניים</t>
  </si>
  <si>
    <t>עלויות משרדיות</t>
  </si>
  <si>
    <t>שכ"ד למשרד</t>
  </si>
  <si>
    <t>גז</t>
  </si>
  <si>
    <t>חשמל</t>
  </si>
  <si>
    <t>מים</t>
  </si>
  <si>
    <t>טלפון</t>
  </si>
  <si>
    <t>גישה לאינטרנט</t>
  </si>
  <si>
    <t>ציוד משרדי</t>
  </si>
  <si>
    <t>אבטחה</t>
  </si>
  <si>
    <t>עלויות שיווק</t>
  </si>
  <si>
    <t>אירוח אתר אינטרנט</t>
  </si>
  <si>
    <t>עדכוני אתר אינטרנט</t>
  </si>
  <si>
    <t>הכנת חומרי שיווק</t>
  </si>
  <si>
    <t>הדפסת חומרי שיווק</t>
  </si>
  <si>
    <t>אירועים שיווקיים</t>
  </si>
  <si>
    <t>הוצאות שונות</t>
  </si>
  <si>
    <t>הדרכה/נסיעה</t>
  </si>
  <si>
    <t>קורסי הדרכה</t>
  </si>
  <si>
    <t>עלויות נסיעה הקשורות להדרכה</t>
  </si>
  <si>
    <t>סכומים כוללים</t>
  </si>
  <si>
    <t>הוצאות מתוכננות חודשיות</t>
  </si>
  <si>
    <t>הוצאות מתוכננות כוללות</t>
  </si>
  <si>
    <t>ינו</t>
  </si>
  <si>
    <t>פבר</t>
  </si>
  <si>
    <t>מרץ</t>
  </si>
  <si>
    <t>אפר</t>
  </si>
  <si>
    <t>מאי</t>
  </si>
  <si>
    <t>יונ</t>
  </si>
  <si>
    <t>יול</t>
  </si>
  <si>
    <t>אוג</t>
  </si>
  <si>
    <t>פירוט ההוצאות המשוערות</t>
  </si>
  <si>
    <t>התאים המוצללים כוללים חישובים.</t>
  </si>
  <si>
    <t>ספט</t>
  </si>
  <si>
    <t>אוק</t>
  </si>
  <si>
    <t>נוב</t>
  </si>
  <si>
    <t>דצמ</t>
  </si>
  <si>
    <t>שנה</t>
  </si>
  <si>
    <t xml:space="preserve"> </t>
  </si>
  <si>
    <t>הוצאות בפועל</t>
  </si>
  <si>
    <t>הוצאות חודשיות בפועל</t>
  </si>
  <si>
    <t>הוצאות כוללות בפועל</t>
  </si>
  <si>
    <t>שונות הוצאות</t>
  </si>
  <si>
    <t>קטגוריית הוצאות</t>
  </si>
  <si>
    <t>אחוז שונות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</si>
</sst>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quot;₪&quot;\ #,##0.00;[Red]&quot;₪&quot;\ \-#,##0.00"/>
    <numFmt numFmtId="42" formatCode="_ &quot;₪&quot;\ * #,##0_ ;_ &quot;₪&quot;\ * \-#,##0_ ;_ &quot;₪&quot;\ * &quot;-&quot;_ ;_ @_ "/>
    <numFmt numFmtId="44" formatCode="_ &quot;₪&quot;\ * #,##0.00_ ;_ &quot;₪&quot;\ * \-#,##0.00_ ;_ &quot;₪&quot;\ * &quot;-&quot;??_ ;_ @_ "/>
    <numFmt numFmtId="164" formatCode="_(* #,##0_);_(* \(#,##0\);_(* &quot;-&quot;_);_(@_)"/>
    <numFmt numFmtId="165" formatCode="_(* #,##0.00_);_(* \(#,##0.00\);_(* &quot;-&quot;??_);_(@_)"/>
    <numFmt numFmtId="166" formatCode="&quot;₪&quot;\ #,##0.00;[Red]&quot;₪&quot;\ #,##0.00"/>
  </numFmts>
  <fonts count="52" x14ac:knownFonts="1">
    <font>
      <sz val="9"/>
      <color theme="1" tint="0.24994659260841701"/>
      <name val="Tahoma"/>
      <family val="2"/>
    </font>
    <font>
      <sz val="11"/>
      <color theme="1"/>
      <name val="Tahoma"/>
      <family val="2"/>
    </font>
    <font>
      <sz val="11"/>
      <color theme="0"/>
      <name val="Tahoma"/>
      <family val="2"/>
    </font>
    <font>
      <sz val="11"/>
      <color rgb="FF9C0006"/>
      <name val="Tahoma"/>
      <family val="2"/>
    </font>
    <font>
      <b/>
      <sz val="11"/>
      <color rgb="FFFA7D00"/>
      <name val="Tahoma"/>
      <family val="2"/>
    </font>
    <font>
      <b/>
      <sz val="11"/>
      <color theme="0"/>
      <name val="Tahoma"/>
      <family val="2"/>
    </font>
    <font>
      <sz val="9"/>
      <color theme="1" tint="0.24994659260841701"/>
      <name val="Tahoma"/>
      <family val="2"/>
    </font>
    <font>
      <i/>
      <sz val="11"/>
      <color theme="3" tint="0.79998168889431442"/>
      <name val="Tahoma"/>
      <family val="2"/>
    </font>
    <font>
      <sz val="11"/>
      <color rgb="FF006100"/>
      <name val="Tahoma"/>
      <family val="2"/>
    </font>
    <font>
      <b/>
      <sz val="22"/>
      <color theme="1" tint="0.24994659260841701"/>
      <name val="Tahoma"/>
      <family val="2"/>
    </font>
    <font>
      <b/>
      <sz val="16"/>
      <color theme="0"/>
      <name val="Tahoma"/>
      <family val="2"/>
    </font>
    <font>
      <b/>
      <sz val="10"/>
      <color theme="2"/>
      <name val="Tahoma"/>
      <family val="2"/>
    </font>
    <font>
      <sz val="11"/>
      <color theme="1" tint="0.24994659260841701"/>
      <name val="Tahoma"/>
      <family val="2"/>
    </font>
    <font>
      <sz val="11"/>
      <color rgb="FF3F3F76"/>
      <name val="Tahoma"/>
      <family val="2"/>
    </font>
    <font>
      <sz val="11"/>
      <color rgb="FFFA7D00"/>
      <name val="Tahoma"/>
      <family val="2"/>
    </font>
    <font>
      <sz val="11"/>
      <color rgb="FF9C5700"/>
      <name val="Tahoma"/>
      <family val="2"/>
    </font>
    <font>
      <b/>
      <sz val="11"/>
      <color rgb="FF3F3F3F"/>
      <name val="Tahoma"/>
      <family val="2"/>
    </font>
    <font>
      <sz val="18"/>
      <color theme="3"/>
      <name val="Tahoma"/>
      <family val="2"/>
    </font>
    <font>
      <b/>
      <sz val="11"/>
      <color theme="1"/>
      <name val="Tahoma"/>
      <family val="2"/>
    </font>
    <font>
      <sz val="11"/>
      <color rgb="FFFF0000"/>
      <name val="Tahoma"/>
      <family val="2"/>
    </font>
    <font>
      <sz val="11"/>
      <color theme="1" tint="4.9989318521683403E-2"/>
      <name val="Tahoma"/>
      <family val="2"/>
    </font>
    <font>
      <b/>
      <sz val="11"/>
      <color theme="1" tint="4.9989318521683403E-2"/>
      <name val="Tahoma"/>
      <family val="2"/>
    </font>
    <font>
      <sz val="14"/>
      <color theme="3" tint="-0.249977111117893"/>
      <name val="Tahoma"/>
      <family val="2"/>
    </font>
    <font>
      <sz val="14"/>
      <color theme="1"/>
      <name val="Tahoma"/>
      <family val="2"/>
    </font>
    <font>
      <sz val="14"/>
      <color theme="0"/>
      <name val="Tahoma"/>
      <family val="2"/>
    </font>
    <font>
      <b/>
      <sz val="36"/>
      <color theme="0"/>
      <name val="Tahoma"/>
      <family val="2"/>
    </font>
    <font>
      <b/>
      <sz val="14"/>
      <color theme="1"/>
      <name val="Tahoma"/>
      <family val="2"/>
    </font>
    <font>
      <b/>
      <sz val="14"/>
      <color theme="3"/>
      <name val="Tahoma"/>
      <family val="2"/>
    </font>
    <font>
      <b/>
      <u/>
      <sz val="10"/>
      <color theme="1"/>
      <name val="Tahoma"/>
      <family val="2"/>
    </font>
    <font>
      <sz val="14"/>
      <color theme="6" tint="0.39997558519241921"/>
      <name val="Tahoma"/>
      <family val="2"/>
    </font>
    <font>
      <b/>
      <sz val="13"/>
      <color theme="3"/>
      <name val="Tahoma"/>
      <family val="2"/>
    </font>
    <font>
      <sz val="14"/>
      <color theme="3"/>
      <name val="Tahoma"/>
      <family val="2"/>
    </font>
    <font>
      <sz val="9"/>
      <color theme="6" tint="0.39997558519241921"/>
      <name val="Tahoma"/>
      <family val="2"/>
    </font>
    <font>
      <b/>
      <sz val="14"/>
      <color theme="0"/>
      <name val="Tahoma"/>
      <family val="2"/>
    </font>
    <font>
      <b/>
      <sz val="10"/>
      <color theme="0"/>
      <name val="Tahoma"/>
      <family val="2"/>
    </font>
    <font>
      <sz val="9"/>
      <color theme="1"/>
      <name val="Tahoma"/>
      <family val="2"/>
    </font>
    <font>
      <b/>
      <sz val="10"/>
      <color theme="1"/>
      <name val="Tahoma"/>
      <family val="2"/>
    </font>
    <font>
      <sz val="10"/>
      <color theme="1"/>
      <name val="Tahoma"/>
      <family val="2"/>
    </font>
    <font>
      <b/>
      <i/>
      <sz val="10"/>
      <color theme="1"/>
      <name val="Tahoma"/>
      <family val="2"/>
    </font>
    <font>
      <b/>
      <sz val="10"/>
      <color theme="3" tint="-0.499984740745262"/>
      <name val="Tahoma"/>
      <family val="2"/>
    </font>
    <font>
      <b/>
      <sz val="9"/>
      <color theme="1"/>
      <name val="Tahoma"/>
      <family val="2"/>
    </font>
    <font>
      <i/>
      <sz val="11"/>
      <color theme="0"/>
      <name val="Tahoma"/>
      <family val="2"/>
    </font>
    <font>
      <b/>
      <sz val="10"/>
      <name val="Tahoma"/>
      <family val="2"/>
    </font>
    <font>
      <sz val="9"/>
      <name val="Tahoma"/>
      <family val="2"/>
    </font>
    <font>
      <b/>
      <sz val="14"/>
      <color theme="2"/>
      <name val="Tahoma"/>
      <family val="2"/>
    </font>
    <font>
      <b/>
      <sz val="14"/>
      <color theme="3" tint="-0.499984740745262"/>
      <name val="Tahoma"/>
      <family val="2"/>
    </font>
    <font>
      <b/>
      <sz val="10"/>
      <color theme="1" tint="0.24994659260841701"/>
      <name val="Tahoma"/>
      <family val="2"/>
    </font>
    <font>
      <sz val="10"/>
      <color theme="1" tint="0.24994659260841701"/>
      <name val="Tahoma"/>
      <family val="2"/>
    </font>
    <font>
      <b/>
      <sz val="9"/>
      <name val="Tahoma"/>
      <family val="2"/>
    </font>
    <font>
      <b/>
      <sz val="16"/>
      <color theme="3"/>
      <name val="Tahoma"/>
      <family val="2"/>
    </font>
    <font>
      <sz val="11"/>
      <color theme="6" tint="0.39997558519241921"/>
      <name val="Tahoma"/>
      <family val="2"/>
    </font>
    <font>
      <sz val="10"/>
      <color theme="5" tint="0.79998168889431442"/>
      <name val="Tahoma"/>
      <family val="2"/>
    </font>
  </fonts>
  <fills count="45">
    <fill>
      <patternFill patternType="none"/>
    </fill>
    <fill>
      <patternFill patternType="gray125"/>
    </fill>
    <fill>
      <patternFill patternType="solid">
        <fgColor theme="5" tint="-0.499984740745262"/>
        <bgColor indexed="64"/>
      </patternFill>
    </fill>
    <fill>
      <patternFill patternType="solid">
        <fgColor theme="3" tint="0.89996032593768116"/>
        <bgColor indexed="64"/>
      </patternFill>
    </fill>
    <fill>
      <patternFill patternType="solid">
        <fgColor theme="3"/>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9">
    <border>
      <left/>
      <right/>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medium">
        <color theme="6" tint="0.39997558519241921"/>
      </left>
      <right style="medium">
        <color theme="6" tint="0.39997558519241921"/>
      </right>
      <top style="medium">
        <color theme="6" tint="0.39997558519241921"/>
      </top>
      <bottom style="medium">
        <color theme="6" tint="0.39997558519241921"/>
      </bottom>
      <diagonal/>
    </border>
    <border>
      <left/>
      <right/>
      <top/>
      <bottom style="medium">
        <color theme="6" tint="0.39997558519241921"/>
      </bottom>
      <diagonal/>
    </border>
    <border>
      <left/>
      <right/>
      <top style="medium">
        <color theme="6" tint="0.39997558519241921"/>
      </top>
      <bottom/>
      <diagonal/>
    </border>
    <border>
      <left style="medium">
        <color theme="6" tint="0.39997558519241921"/>
      </left>
      <right style="medium">
        <color theme="6" tint="0.39997558519241921"/>
      </right>
      <top style="medium">
        <color theme="6" tint="0.39997558519241921"/>
      </top>
      <bottom/>
      <diagonal/>
    </border>
    <border>
      <left/>
      <right style="medium">
        <color theme="6" tint="0.39997558519241921"/>
      </right>
      <top/>
      <bottom/>
      <diagonal/>
    </border>
    <border>
      <left/>
      <right style="medium">
        <color theme="6" tint="0.39997558519241921"/>
      </right>
      <top style="medium">
        <color theme="6" tint="0.39997558519241921"/>
      </top>
      <bottom/>
      <diagonal/>
    </border>
    <border>
      <left style="medium">
        <color theme="6" tint="0.39997558519241921"/>
      </left>
      <right style="medium">
        <color theme="6" tint="0.39997558519241921"/>
      </right>
      <top/>
      <bottom/>
      <diagonal/>
    </border>
    <border>
      <left/>
      <right/>
      <top/>
      <bottom style="medium">
        <color theme="6" tint="0.39994506668294322"/>
      </bottom>
      <diagonal/>
    </border>
    <border>
      <left/>
      <right/>
      <top style="medium">
        <color theme="6" tint="0.39994506668294322"/>
      </top>
      <bottom style="medium">
        <color theme="6" tint="0.39994506668294322"/>
      </bottom>
      <diagonal/>
    </border>
    <border>
      <left/>
      <right/>
      <top style="medium">
        <color theme="6" tint="0.39994506668294322"/>
      </top>
      <bottom/>
      <diagonal/>
    </border>
    <border>
      <left/>
      <right style="medium">
        <color theme="6" tint="0.39991454817346722"/>
      </right>
      <top style="medium">
        <color theme="6" tint="0.39994506668294322"/>
      </top>
      <bottom/>
      <diagonal/>
    </border>
    <border>
      <left style="medium">
        <color theme="6" tint="0.39994506668294322"/>
      </left>
      <right style="medium">
        <color theme="6" tint="0.39994506668294322"/>
      </right>
      <top style="medium">
        <color theme="6" tint="0.39994506668294322"/>
      </top>
      <bottom style="medium">
        <color theme="6" tint="0.39994506668294322"/>
      </bottom>
      <diagonal/>
    </border>
    <border>
      <left/>
      <right style="medium">
        <color theme="6" tint="0.39994506668294322"/>
      </right>
      <top/>
      <bottom style="medium">
        <color theme="6" tint="0.39994506668294322"/>
      </bottom>
      <diagonal/>
    </border>
    <border>
      <left style="medium">
        <color theme="6" tint="0.39994506668294322"/>
      </left>
      <right style="medium">
        <color theme="6" tint="0.39994506668294322"/>
      </right>
      <top/>
      <bottom style="medium">
        <color theme="6" tint="0.39994506668294322"/>
      </bottom>
      <diagonal/>
    </border>
    <border>
      <left style="medium">
        <color theme="6" tint="0.39994506668294322"/>
      </left>
      <right/>
      <top/>
      <bottom style="medium">
        <color theme="6" tint="0.39994506668294322"/>
      </bottom>
      <diagonal/>
    </border>
    <border>
      <left/>
      <right style="medium">
        <color theme="6" tint="0.39994506668294322"/>
      </right>
      <top style="medium">
        <color theme="6" tint="0.39994506668294322"/>
      </top>
      <bottom style="medium">
        <color theme="6" tint="0.39994506668294322"/>
      </bottom>
      <diagonal/>
    </border>
    <border>
      <left style="medium">
        <color theme="6" tint="0.39994506668294322"/>
      </left>
      <right/>
      <top style="medium">
        <color theme="6" tint="0.39994506668294322"/>
      </top>
      <bottom style="medium">
        <color theme="6" tint="0.39994506668294322"/>
      </bottom>
      <diagonal/>
    </border>
    <border>
      <left/>
      <right style="medium">
        <color theme="6" tint="0.39994506668294322"/>
      </right>
      <top style="medium">
        <color theme="6" tint="0.39994506668294322"/>
      </top>
      <bottom/>
      <diagonal/>
    </border>
    <border>
      <left style="medium">
        <color theme="6" tint="0.39994506668294322"/>
      </left>
      <right style="medium">
        <color theme="6" tint="0.39994506668294322"/>
      </right>
      <top style="medium">
        <color theme="6" tint="0.39994506668294322"/>
      </top>
      <bottom/>
      <diagonal/>
    </border>
    <border>
      <left style="medium">
        <color theme="6" tint="0.39994506668294322"/>
      </left>
      <right/>
      <top style="medium">
        <color theme="6" tint="0.39994506668294322"/>
      </top>
      <bottom/>
      <diagonal/>
    </border>
    <border>
      <left/>
      <right style="medium">
        <color theme="6" tint="0.39994506668294322"/>
      </right>
      <top style="medium">
        <color theme="6" tint="0.39991454817346722"/>
      </top>
      <bottom style="medium">
        <color theme="6" tint="0.39994506668294322"/>
      </bottom>
      <diagonal/>
    </border>
    <border>
      <left style="medium">
        <color theme="6" tint="0.39994506668294322"/>
      </left>
      <right style="medium">
        <color theme="6" tint="0.39994506668294322"/>
      </right>
      <top style="medium">
        <color theme="6" tint="0.39991454817346722"/>
      </top>
      <bottom style="medium">
        <color theme="6" tint="0.39994506668294322"/>
      </bottom>
      <diagonal/>
    </border>
    <border>
      <left style="medium">
        <color theme="6" tint="0.39994506668294322"/>
      </left>
      <right/>
      <top style="medium">
        <color theme="6" tint="0.39991454817346722"/>
      </top>
      <bottom style="medium">
        <color theme="6" tint="0.39994506668294322"/>
      </bottom>
      <diagonal/>
    </border>
    <border>
      <left style="medium">
        <color theme="6" tint="0.39988402966399123"/>
      </left>
      <right/>
      <top style="medium">
        <color theme="6" tint="0.39991454817346722"/>
      </top>
      <bottom style="medium">
        <color theme="6" tint="0.39994506668294322"/>
      </bottom>
      <diagonal/>
    </border>
    <border>
      <left style="medium">
        <color theme="6" tint="0.39988402966399123"/>
      </left>
      <right/>
      <top style="medium">
        <color theme="6" tint="0.39994506668294322"/>
      </top>
      <bottom style="medium">
        <color theme="6" tint="0.39994506668294322"/>
      </bottom>
      <diagonal/>
    </border>
    <border>
      <left/>
      <right style="medium">
        <color theme="6" tint="0.39994506668294322"/>
      </right>
      <top style="medium">
        <color theme="6" tint="0.39994506668294322"/>
      </top>
      <bottom style="medium">
        <color theme="6" tint="0.39985351115451523"/>
      </bottom>
      <diagonal/>
    </border>
    <border>
      <left style="medium">
        <color theme="6" tint="0.39994506668294322"/>
      </left>
      <right style="medium">
        <color theme="6" tint="0.39994506668294322"/>
      </right>
      <top style="medium">
        <color theme="6" tint="0.39994506668294322"/>
      </top>
      <bottom style="medium">
        <color theme="6" tint="0.39985351115451523"/>
      </bottom>
      <diagonal/>
    </border>
    <border>
      <left style="medium">
        <color theme="6" tint="0.39994506668294322"/>
      </left>
      <right/>
      <top style="medium">
        <color theme="6" tint="0.39994506668294322"/>
      </top>
      <bottom style="medium">
        <color theme="6" tint="0.39985351115451523"/>
      </bottom>
      <diagonal/>
    </border>
    <border>
      <left style="medium">
        <color theme="6" tint="0.39988402966399123"/>
      </left>
      <right style="medium">
        <color theme="6" tint="0.39985351115451523"/>
      </right>
      <top style="medium">
        <color theme="6" tint="0.39994506668294322"/>
      </top>
      <bottom style="medium">
        <color theme="6" tint="0.39985351115451523"/>
      </bottom>
      <diagonal/>
    </border>
    <border>
      <left/>
      <right style="medium">
        <color theme="6" tint="0.39997558519241921"/>
      </right>
      <top style="medium">
        <color theme="6" tint="0.39997558519241921"/>
      </top>
      <bottom style="medium">
        <color theme="6" tint="0.39997558519241921"/>
      </bottom>
      <diagonal/>
    </border>
    <border>
      <left/>
      <right style="medium">
        <color theme="6" tint="0.39994506668294322"/>
      </right>
      <top/>
      <bottom style="medium">
        <color theme="6"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10" borderId="0"/>
    <xf numFmtId="0" fontId="9" fillId="0" borderId="0" applyNumberFormat="0" applyFill="0" applyProtection="0">
      <alignment vertical="center"/>
    </xf>
    <xf numFmtId="0" fontId="10" fillId="4" borderId="0" applyNumberFormat="0" applyProtection="0">
      <alignment vertical="center" readingOrder="2"/>
    </xf>
    <xf numFmtId="0" fontId="11" fillId="2" borderId="0" applyNumberFormat="0" applyProtection="0">
      <alignment vertical="center"/>
    </xf>
    <xf numFmtId="0" fontId="12" fillId="3" borderId="1" applyNumberFormat="0" applyProtection="0">
      <alignment horizontal="left" vertical="center" indent="1"/>
    </xf>
    <xf numFmtId="0" fontId="7" fillId="0" borderId="0" applyNumberFormat="0" applyFill="0" applyBorder="0" applyAlignment="0" applyProtection="0">
      <alignment readingOrder="2"/>
    </xf>
    <xf numFmtId="165" fontId="6" fillId="0" borderId="0" applyFont="0" applyFill="0" applyBorder="0" applyAlignment="0" applyProtection="0"/>
    <xf numFmtId="164"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17" fillId="0" borderId="0" applyNumberFormat="0" applyFill="0" applyBorder="0" applyAlignment="0" applyProtection="0"/>
    <xf numFmtId="0" fontId="8" fillId="14" borderId="0" applyNumberFormat="0" applyBorder="0" applyAlignment="0" applyProtection="0"/>
    <xf numFmtId="0" fontId="3" fillId="15" borderId="0" applyNumberFormat="0" applyBorder="0" applyAlignment="0" applyProtection="0"/>
    <xf numFmtId="0" fontId="15" fillId="16" borderId="0" applyNumberFormat="0" applyBorder="0" applyAlignment="0" applyProtection="0"/>
    <xf numFmtId="0" fontId="13" fillId="17" borderId="33" applyNumberFormat="0" applyAlignment="0" applyProtection="0"/>
    <xf numFmtId="0" fontId="16" fillId="18" borderId="34" applyNumberFormat="0" applyAlignment="0" applyProtection="0"/>
    <xf numFmtId="0" fontId="4" fillId="18" borderId="33" applyNumberFormat="0" applyAlignment="0" applyProtection="0"/>
    <xf numFmtId="0" fontId="14" fillId="0" borderId="35" applyNumberFormat="0" applyFill="0" applyAlignment="0" applyProtection="0"/>
    <xf numFmtId="0" fontId="5" fillId="19" borderId="36" applyNumberFormat="0" applyAlignment="0" applyProtection="0"/>
    <xf numFmtId="0" fontId="19" fillId="0" borderId="0" applyNumberFormat="0" applyFill="0" applyBorder="0" applyAlignment="0" applyProtection="0"/>
    <xf numFmtId="0" fontId="6" fillId="20" borderId="37" applyNumberFormat="0" applyFont="0" applyAlignment="0" applyProtection="0"/>
    <xf numFmtId="0" fontId="18" fillId="0" borderId="38" applyNumberFormat="0" applyFill="0" applyAlignment="0" applyProtection="0"/>
    <xf numFmtId="0" fontId="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2"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cellStyleXfs>
  <cellXfs count="133">
    <xf numFmtId="0" fontId="0" fillId="10" borderId="0" xfId="0"/>
    <xf numFmtId="0" fontId="10" fillId="8" borderId="0" xfId="2" applyFill="1" applyAlignment="1">
      <alignment horizontal="center" vertical="center" readingOrder="2"/>
    </xf>
    <xf numFmtId="0" fontId="20" fillId="10" borderId="0" xfId="0" applyFont="1" applyAlignment="1">
      <alignment horizontal="right" vertical="center" wrapText="1" readingOrder="2"/>
    </xf>
    <xf numFmtId="0" fontId="21" fillId="10" borderId="0" xfId="0" applyFont="1" applyAlignment="1">
      <alignment horizontal="right" vertical="center" wrapText="1" readingOrder="2"/>
    </xf>
    <xf numFmtId="0" fontId="20" fillId="10" borderId="0" xfId="0" applyFont="1" applyAlignment="1">
      <alignment horizontal="right" wrapText="1" readingOrder="2"/>
    </xf>
    <xf numFmtId="0" fontId="22" fillId="8" borderId="0" xfId="0" applyFont="1" applyFill="1" applyAlignment="1">
      <alignment horizontal="right" vertical="top" wrapText="1" indent="1" readingOrder="2"/>
    </xf>
    <xf numFmtId="0" fontId="23" fillId="8" borderId="0" xfId="0" applyFont="1" applyFill="1" applyAlignment="1">
      <alignment horizontal="right" vertical="top" indent="1" readingOrder="2"/>
    </xf>
    <xf numFmtId="0" fontId="23" fillId="4" borderId="0" xfId="0" applyFont="1" applyFill="1" applyAlignment="1">
      <alignment horizontal="right" vertical="top" indent="1" readingOrder="2"/>
    </xf>
    <xf numFmtId="0" fontId="24" fillId="4" borderId="0" xfId="0" applyFont="1" applyFill="1" applyAlignment="1">
      <alignment horizontal="right" vertical="top" indent="1" readingOrder="2"/>
    </xf>
    <xf numFmtId="0" fontId="23" fillId="10" borderId="0" xfId="0" applyFont="1"/>
    <xf numFmtId="0" fontId="22" fillId="8" borderId="0" xfId="0" applyFont="1" applyFill="1" applyAlignment="1">
      <alignment horizontal="right" vertical="top" indent="1" readingOrder="2"/>
    </xf>
    <xf numFmtId="0" fontId="25" fillId="8" borderId="0" xfId="1" applyFont="1" applyFill="1" applyAlignment="1">
      <alignment horizontal="right" vertical="top" indent="1" readingOrder="2"/>
    </xf>
    <xf numFmtId="42" fontId="26" fillId="8" borderId="0" xfId="0" applyNumberFormat="1" applyFont="1" applyFill="1" applyAlignment="1">
      <alignment horizontal="right" vertical="top" indent="1" readingOrder="2"/>
    </xf>
    <xf numFmtId="0" fontId="26" fillId="4" borderId="0" xfId="0" applyFont="1" applyFill="1" applyAlignment="1">
      <alignment horizontal="right" vertical="top" indent="1" readingOrder="2"/>
    </xf>
    <xf numFmtId="0" fontId="27" fillId="4" borderId="0" xfId="0" applyFont="1" applyFill="1" applyAlignment="1">
      <alignment horizontal="center" vertical="top" readingOrder="2"/>
    </xf>
    <xf numFmtId="42" fontId="28" fillId="8" borderId="0" xfId="0" applyNumberFormat="1" applyFont="1" applyFill="1" applyAlignment="1">
      <alignment horizontal="right" vertical="top" indent="1" readingOrder="2"/>
    </xf>
    <xf numFmtId="0" fontId="28" fillId="4" borderId="0" xfId="0" applyFont="1" applyFill="1" applyAlignment="1">
      <alignment horizontal="right" vertical="top" indent="1" readingOrder="2"/>
    </xf>
    <xf numFmtId="0" fontId="29" fillId="10" borderId="0" xfId="0" applyFont="1" applyAlignment="1">
      <alignment horizontal="right" readingOrder="2"/>
    </xf>
    <xf numFmtId="0" fontId="30" fillId="12" borderId="0" xfId="3" applyFont="1" applyFill="1" applyAlignment="1">
      <alignment horizontal="right" readingOrder="2"/>
    </xf>
    <xf numFmtId="0" fontId="31" fillId="10" borderId="0" xfId="0" applyFont="1" applyAlignment="1">
      <alignment horizontal="right" readingOrder="2"/>
    </xf>
    <xf numFmtId="0" fontId="31" fillId="10" borderId="0" xfId="0" applyFont="1"/>
    <xf numFmtId="0" fontId="33" fillId="6" borderId="9" xfId="4" applyFont="1" applyFill="1" applyBorder="1" applyAlignment="1">
      <alignment horizontal="right" vertical="center" indent="1" readingOrder="2"/>
    </xf>
    <xf numFmtId="0" fontId="23" fillId="10" borderId="0" xfId="0" applyFont="1" applyAlignment="1">
      <alignment horizontal="right" readingOrder="2"/>
    </xf>
    <xf numFmtId="0" fontId="34" fillId="4" borderId="10" xfId="0" applyFont="1" applyFill="1" applyBorder="1" applyAlignment="1">
      <alignment horizontal="right" vertical="center" indent="1" readingOrder="2"/>
    </xf>
    <xf numFmtId="0" fontId="36" fillId="11" borderId="12" xfId="0" applyFont="1" applyFill="1" applyBorder="1" applyAlignment="1">
      <alignment horizontal="right" vertical="center" indent="1" readingOrder="2"/>
    </xf>
    <xf numFmtId="0" fontId="36" fillId="10" borderId="0" xfId="0" applyFont="1" applyAlignment="1">
      <alignment horizontal="center" readingOrder="2"/>
    </xf>
    <xf numFmtId="0" fontId="33" fillId="5" borderId="25" xfId="4" applyFont="1" applyFill="1" applyBorder="1" applyAlignment="1">
      <alignment horizontal="right" vertical="center" indent="1" readingOrder="2"/>
    </xf>
    <xf numFmtId="0" fontId="34" fillId="4" borderId="26" xfId="0" applyFont="1" applyFill="1" applyBorder="1" applyAlignment="1">
      <alignment horizontal="right" vertical="center" indent="1" readingOrder="2"/>
    </xf>
    <xf numFmtId="0" fontId="36" fillId="11" borderId="30" xfId="0" applyFont="1" applyFill="1" applyBorder="1" applyAlignment="1">
      <alignment horizontal="right" vertical="center" indent="2" readingOrder="2"/>
    </xf>
    <xf numFmtId="0" fontId="37" fillId="10" borderId="0" xfId="0" applyFont="1" applyAlignment="1">
      <alignment horizontal="center" readingOrder="2"/>
    </xf>
    <xf numFmtId="0" fontId="33" fillId="7" borderId="14" xfId="4" applyFont="1" applyFill="1" applyBorder="1" applyAlignment="1">
      <alignment horizontal="right" vertical="center" indent="1" readingOrder="2"/>
    </xf>
    <xf numFmtId="0" fontId="36" fillId="11" borderId="12" xfId="0" applyFont="1" applyFill="1" applyBorder="1" applyAlignment="1">
      <alignment horizontal="right" vertical="center" indent="2" readingOrder="2"/>
    </xf>
    <xf numFmtId="0" fontId="33" fillId="6" borderId="14" xfId="4" applyFont="1" applyFill="1" applyBorder="1" applyAlignment="1">
      <alignment horizontal="right" vertical="center" indent="1" readingOrder="2"/>
    </xf>
    <xf numFmtId="0" fontId="33" fillId="9" borderId="3" xfId="3" applyFont="1" applyFill="1" applyBorder="1" applyAlignment="1">
      <alignment horizontal="right" vertical="center" indent="1" readingOrder="2"/>
    </xf>
    <xf numFmtId="0" fontId="39" fillId="9" borderId="3" xfId="3" applyFont="1" applyFill="1" applyBorder="1" applyAlignment="1">
      <alignment horizontal="right" vertical="center" readingOrder="2"/>
    </xf>
    <xf numFmtId="0" fontId="34" fillId="4" borderId="7" xfId="0" applyFont="1" applyFill="1" applyBorder="1" applyAlignment="1">
      <alignment horizontal="right" vertical="center" indent="1" readingOrder="2"/>
    </xf>
    <xf numFmtId="0" fontId="29" fillId="10" borderId="0" xfId="0" applyFont="1"/>
    <xf numFmtId="0" fontId="42" fillId="11" borderId="11" xfId="0" applyFont="1" applyFill="1" applyBorder="1" applyAlignment="1">
      <alignment horizontal="right" vertical="center" indent="1" readingOrder="2"/>
    </xf>
    <xf numFmtId="0" fontId="33" fillId="5" borderId="9" xfId="4" applyFont="1" applyFill="1" applyBorder="1" applyAlignment="1">
      <alignment horizontal="right" vertical="center" indent="1" readingOrder="2"/>
    </xf>
    <xf numFmtId="0" fontId="42" fillId="11" borderId="19" xfId="0" applyFont="1" applyFill="1" applyBorder="1" applyAlignment="1">
      <alignment horizontal="right" vertical="center" indent="2" readingOrder="2"/>
    </xf>
    <xf numFmtId="0" fontId="33" fillId="7" borderId="9" xfId="4" applyFont="1" applyFill="1" applyBorder="1" applyAlignment="1">
      <alignment horizontal="right" vertical="center" indent="1" readingOrder="2"/>
    </xf>
    <xf numFmtId="0" fontId="42" fillId="11" borderId="19" xfId="0" applyFont="1" applyFill="1" applyBorder="1" applyAlignment="1">
      <alignment horizontal="right" vertical="center" indent="1" readingOrder="2"/>
    </xf>
    <xf numFmtId="0" fontId="34" fillId="4" borderId="17" xfId="0" applyFont="1" applyFill="1" applyBorder="1" applyAlignment="1">
      <alignment horizontal="right" vertical="center" indent="1" readingOrder="2"/>
    </xf>
    <xf numFmtId="0" fontId="44" fillId="9" borderId="3" xfId="3" applyFont="1" applyFill="1" applyBorder="1" applyAlignment="1">
      <alignment horizontal="right" vertical="center" indent="1" readingOrder="2"/>
    </xf>
    <xf numFmtId="0" fontId="45" fillId="9" borderId="0" xfId="3" applyFont="1" applyFill="1" applyAlignment="1">
      <alignment horizontal="right" vertical="center" readingOrder="2"/>
    </xf>
    <xf numFmtId="0" fontId="45" fillId="9" borderId="32" xfId="3" applyFont="1" applyFill="1" applyBorder="1" applyAlignment="1">
      <alignment horizontal="right" vertical="center" readingOrder="2"/>
    </xf>
    <xf numFmtId="0" fontId="34" fillId="4" borderId="4" xfId="0" applyFont="1" applyFill="1" applyBorder="1" applyAlignment="1">
      <alignment horizontal="right" vertical="center" indent="1" readingOrder="2"/>
    </xf>
    <xf numFmtId="0" fontId="37" fillId="10" borderId="0" xfId="0" applyFont="1"/>
    <xf numFmtId="0" fontId="37" fillId="10" borderId="4" xfId="0" applyFont="1" applyBorder="1"/>
    <xf numFmtId="0" fontId="46" fillId="11" borderId="19" xfId="0" applyFont="1" applyFill="1" applyBorder="1" applyAlignment="1">
      <alignment horizontal="right" vertical="center" indent="1" readingOrder="2"/>
    </xf>
    <xf numFmtId="0" fontId="33" fillId="5" borderId="14" xfId="4" applyFont="1" applyFill="1" applyBorder="1" applyAlignment="1">
      <alignment horizontal="right" vertical="center" indent="1" readingOrder="2"/>
    </xf>
    <xf numFmtId="0" fontId="36" fillId="11" borderId="19" xfId="0" applyFont="1" applyFill="1" applyBorder="1" applyAlignment="1">
      <alignment horizontal="right" vertical="center" indent="1" readingOrder="2"/>
    </xf>
    <xf numFmtId="0" fontId="47" fillId="11" borderId="19" xfId="0" applyFont="1" applyFill="1" applyBorder="1" applyAlignment="1">
      <alignment horizontal="right" vertical="center" indent="2" readingOrder="2"/>
    </xf>
    <xf numFmtId="0" fontId="46" fillId="11" borderId="19" xfId="0" applyFont="1" applyFill="1" applyBorder="1" applyAlignment="1">
      <alignment horizontal="right" vertical="center" indent="2" readingOrder="2"/>
    </xf>
    <xf numFmtId="0" fontId="29" fillId="10" borderId="6" xfId="0" applyFont="1" applyBorder="1" applyAlignment="1">
      <alignment horizontal="right" readingOrder="2"/>
    </xf>
    <xf numFmtId="0" fontId="44" fillId="9" borderId="0" xfId="3" applyFont="1" applyFill="1" applyAlignment="1">
      <alignment horizontal="right" vertical="center" indent="1" readingOrder="2"/>
    </xf>
    <xf numFmtId="0" fontId="34" fillId="4" borderId="5" xfId="0" applyFont="1" applyFill="1" applyBorder="1" applyAlignment="1">
      <alignment horizontal="right" vertical="center" indent="1" readingOrder="2"/>
    </xf>
    <xf numFmtId="0" fontId="22" fillId="8" borderId="0" xfId="0" applyFont="1" applyFill="1" applyAlignment="1">
      <alignment horizontal="right" vertical="top" wrapText="1" readingOrder="2"/>
    </xf>
    <xf numFmtId="0" fontId="49" fillId="4" borderId="0" xfId="2" applyFont="1" applyAlignment="1">
      <alignment horizontal="center" wrapText="1" readingOrder="2"/>
    </xf>
    <xf numFmtId="0" fontId="32" fillId="10" borderId="0" xfId="0" applyFont="1" applyAlignment="1">
      <alignment horizontal="right" wrapText="1" readingOrder="2"/>
    </xf>
    <xf numFmtId="0" fontId="29" fillId="10" borderId="0" xfId="0" applyFont="1" applyAlignment="1">
      <alignment horizontal="right" wrapText="1" readingOrder="2"/>
    </xf>
    <xf numFmtId="0" fontId="50" fillId="10" borderId="0" xfId="0" applyFont="1" applyAlignment="1">
      <alignment horizontal="right" vertical="center" wrapText="1" readingOrder="2"/>
    </xf>
    <xf numFmtId="0" fontId="37" fillId="10" borderId="0" xfId="0" applyFont="1" applyAlignment="1">
      <alignment horizontal="right" readingOrder="2"/>
    </xf>
    <xf numFmtId="0" fontId="29" fillId="10" borderId="0" xfId="0" applyFont="1" applyAlignment="1">
      <alignment wrapText="1"/>
    </xf>
    <xf numFmtId="0" fontId="37" fillId="10" borderId="0" xfId="0" applyFont="1" applyAlignment="1">
      <alignment horizontal="left"/>
    </xf>
    <xf numFmtId="0" fontId="37" fillId="10" borderId="0" xfId="0" applyFont="1" applyAlignment="1">
      <alignment horizontal="center"/>
    </xf>
    <xf numFmtId="0" fontId="37" fillId="10" borderId="0" xfId="0" applyFont="1" applyAlignment="1">
      <alignment horizontal="left" indent="1"/>
    </xf>
    <xf numFmtId="0" fontId="0" fillId="10" borderId="0" xfId="0" applyAlignment="1">
      <alignment horizontal="right" vertical="center" readingOrder="2"/>
    </xf>
    <xf numFmtId="0" fontId="0" fillId="10" borderId="0" xfId="0" applyAlignment="1">
      <alignment vertical="center"/>
    </xf>
    <xf numFmtId="0" fontId="0" fillId="10" borderId="0" xfId="0" applyAlignment="1">
      <alignment horizontal="right" readingOrder="2"/>
    </xf>
    <xf numFmtId="0" fontId="30" fillId="12" borderId="0" xfId="3" applyNumberFormat="1" applyFont="1" applyFill="1" applyAlignment="1">
      <alignment horizontal="center" readingOrder="2"/>
    </xf>
    <xf numFmtId="0" fontId="32" fillId="12" borderId="14" xfId="4" applyNumberFormat="1" applyFont="1" applyFill="1" applyBorder="1" applyAlignment="1">
      <alignment horizontal="center" vertical="center" readingOrder="2"/>
    </xf>
    <xf numFmtId="0" fontId="32" fillId="12" borderId="15" xfId="4" applyNumberFormat="1" applyFont="1" applyFill="1" applyBorder="1" applyAlignment="1">
      <alignment horizontal="center" vertical="center" readingOrder="2"/>
    </xf>
    <xf numFmtId="0" fontId="32" fillId="12" borderId="16" xfId="4" applyNumberFormat="1" applyFont="1" applyFill="1" applyBorder="1" applyAlignment="1">
      <alignment horizontal="center" vertical="center" readingOrder="2"/>
    </xf>
    <xf numFmtId="0" fontId="37" fillId="10" borderId="0" xfId="0" applyFont="1" applyAlignment="1">
      <alignment horizontal="left" readingOrder="2"/>
    </xf>
    <xf numFmtId="0" fontId="36" fillId="10" borderId="0" xfId="0" applyFont="1" applyAlignment="1">
      <alignment horizontal="left" readingOrder="2"/>
    </xf>
    <xf numFmtId="0" fontId="32" fillId="12" borderId="22" xfId="4" applyNumberFormat="1" applyFont="1" applyFill="1" applyBorder="1" applyAlignment="1">
      <alignment horizontal="right" vertical="center" indent="1" readingOrder="2"/>
    </xf>
    <xf numFmtId="0" fontId="32" fillId="12" borderId="23" xfId="4" applyNumberFormat="1" applyFont="1" applyFill="1" applyBorder="1" applyAlignment="1">
      <alignment horizontal="right" vertical="center" indent="1" readingOrder="2"/>
    </xf>
    <xf numFmtId="0" fontId="32" fillId="12" borderId="24" xfId="4" applyNumberFormat="1" applyFont="1" applyFill="1" applyBorder="1" applyAlignment="1">
      <alignment horizontal="right" vertical="center" indent="1" readingOrder="2"/>
    </xf>
    <xf numFmtId="0" fontId="38" fillId="10" borderId="0" xfId="0" applyFont="1" applyAlignment="1">
      <alignment horizontal="left" readingOrder="2"/>
    </xf>
    <xf numFmtId="0" fontId="32" fillId="12" borderId="15" xfId="4" applyNumberFormat="1" applyFont="1" applyFill="1" applyBorder="1" applyAlignment="1">
      <alignment horizontal="right" vertical="center" indent="1" readingOrder="2"/>
    </xf>
    <xf numFmtId="0" fontId="32" fillId="12" borderId="16" xfId="4" applyNumberFormat="1" applyFont="1" applyFill="1" applyBorder="1" applyAlignment="1">
      <alignment horizontal="right" vertical="center" indent="1" readingOrder="2"/>
    </xf>
    <xf numFmtId="8" fontId="35" fillId="13" borderId="17" xfId="0" applyNumberFormat="1" applyFont="1" applyFill="1" applyBorder="1" applyAlignment="1">
      <alignment horizontal="left" vertical="center" readingOrder="1"/>
    </xf>
    <xf numFmtId="8" fontId="35" fillId="13" borderId="13" xfId="0" applyNumberFormat="1" applyFont="1" applyFill="1" applyBorder="1" applyAlignment="1">
      <alignment horizontal="left" vertical="center" readingOrder="1"/>
    </xf>
    <xf numFmtId="8" fontId="35" fillId="11" borderId="18" xfId="0" applyNumberFormat="1" applyFont="1" applyFill="1" applyBorder="1" applyAlignment="1">
      <alignment horizontal="left" vertical="center" readingOrder="1"/>
    </xf>
    <xf numFmtId="8" fontId="35" fillId="11" borderId="19" xfId="0" applyNumberFormat="1" applyFont="1" applyFill="1" applyBorder="1" applyAlignment="1">
      <alignment horizontal="left" vertical="center" readingOrder="1"/>
    </xf>
    <xf numFmtId="8" fontId="35" fillId="11" borderId="20" xfId="0" applyNumberFormat="1" applyFont="1" applyFill="1" applyBorder="1" applyAlignment="1">
      <alignment horizontal="left" vertical="center" readingOrder="1"/>
    </xf>
    <xf numFmtId="8" fontId="35" fillId="11" borderId="21" xfId="0" applyNumberFormat="1" applyFont="1" applyFill="1" applyBorder="1" applyAlignment="1">
      <alignment horizontal="left" vertical="center" readingOrder="1"/>
    </xf>
    <xf numFmtId="8" fontId="35" fillId="11" borderId="27" xfId="0" applyNumberFormat="1" applyFont="1" applyFill="1" applyBorder="1" applyAlignment="1">
      <alignment horizontal="left" vertical="center" readingOrder="1"/>
    </xf>
    <xf numFmtId="8" fontId="35" fillId="11" borderId="28" xfId="0" applyNumberFormat="1" applyFont="1" applyFill="1" applyBorder="1" applyAlignment="1">
      <alignment horizontal="left" vertical="center" readingOrder="1"/>
    </xf>
    <xf numFmtId="8" fontId="35" fillId="11" borderId="29" xfId="0" applyNumberFormat="1" applyFont="1" applyFill="1" applyBorder="1" applyAlignment="1">
      <alignment horizontal="left" vertical="center" readingOrder="1"/>
    </xf>
    <xf numFmtId="0" fontId="32" fillId="12" borderId="14" xfId="4" applyNumberFormat="1" applyFont="1" applyFill="1" applyBorder="1" applyAlignment="1">
      <alignment horizontal="right" vertical="center" indent="1" readingOrder="2"/>
    </xf>
    <xf numFmtId="8" fontId="40" fillId="11" borderId="31" xfId="0" applyNumberFormat="1" applyFont="1" applyFill="1" applyBorder="1" applyAlignment="1">
      <alignment horizontal="left" readingOrder="1"/>
    </xf>
    <xf numFmtId="8" fontId="40" fillId="11" borderId="2" xfId="0" applyNumberFormat="1" applyFont="1" applyFill="1" applyBorder="1" applyAlignment="1">
      <alignment horizontal="left" readingOrder="1"/>
    </xf>
    <xf numFmtId="8" fontId="40" fillId="11" borderId="6" xfId="0" applyNumberFormat="1" applyFont="1" applyFill="1" applyBorder="1" applyAlignment="1">
      <alignment horizontal="left" readingOrder="1"/>
    </xf>
    <xf numFmtId="8" fontId="40" fillId="11" borderId="8" xfId="0" applyNumberFormat="1" applyFont="1" applyFill="1" applyBorder="1" applyAlignment="1">
      <alignment horizontal="left" readingOrder="1"/>
    </xf>
    <xf numFmtId="8" fontId="40" fillId="11" borderId="5" xfId="0" applyNumberFormat="1" applyFont="1" applyFill="1" applyBorder="1" applyAlignment="1">
      <alignment horizontal="left" readingOrder="1"/>
    </xf>
    <xf numFmtId="8" fontId="43" fillId="11" borderId="20" xfId="0" applyNumberFormat="1" applyFont="1" applyFill="1" applyBorder="1" applyAlignment="1">
      <alignment horizontal="left" vertical="center" readingOrder="1"/>
    </xf>
    <xf numFmtId="0" fontId="32" fillId="12" borderId="15" xfId="4" applyNumberFormat="1" applyFont="1" applyFill="1" applyBorder="1" applyAlignment="1">
      <alignment horizontal="right" readingOrder="2"/>
    </xf>
    <xf numFmtId="0" fontId="32" fillId="12" borderId="16" xfId="4" applyNumberFormat="1" applyFont="1" applyFill="1" applyBorder="1" applyAlignment="1">
      <alignment horizontal="right" readingOrder="2"/>
    </xf>
    <xf numFmtId="8" fontId="48" fillId="11" borderId="2" xfId="0" applyNumberFormat="1" applyFont="1" applyFill="1" applyBorder="1" applyAlignment="1">
      <alignment horizontal="left" readingOrder="1"/>
    </xf>
    <xf numFmtId="8" fontId="48" fillId="11" borderId="8" xfId="0" applyNumberFormat="1" applyFont="1" applyFill="1" applyBorder="1" applyAlignment="1">
      <alignment horizontal="left" readingOrder="1"/>
    </xf>
    <xf numFmtId="8" fontId="0" fillId="13" borderId="17" xfId="0" applyNumberFormat="1" applyFill="1" applyBorder="1" applyAlignment="1">
      <alignment horizontal="left" vertical="center" readingOrder="1"/>
    </xf>
    <xf numFmtId="8" fontId="0" fillId="13" borderId="13" xfId="0" applyNumberFormat="1" applyFill="1" applyBorder="1" applyAlignment="1">
      <alignment horizontal="left" vertical="center" readingOrder="1"/>
    </xf>
    <xf numFmtId="8" fontId="0" fillId="11" borderId="18" xfId="0" applyNumberFormat="1" applyFill="1" applyBorder="1" applyAlignment="1">
      <alignment horizontal="left" vertical="center" readingOrder="1"/>
    </xf>
    <xf numFmtId="8" fontId="0" fillId="11" borderId="20" xfId="0" applyNumberFormat="1" applyFill="1" applyBorder="1" applyAlignment="1">
      <alignment horizontal="left" vertical="center" readingOrder="1"/>
    </xf>
    <xf numFmtId="8" fontId="0" fillId="11" borderId="21" xfId="0" applyNumberFormat="1" applyFill="1" applyBorder="1" applyAlignment="1">
      <alignment horizontal="left" vertical="center" readingOrder="1"/>
    </xf>
    <xf numFmtId="8" fontId="0" fillId="11" borderId="19" xfId="0" applyNumberFormat="1" applyFill="1" applyBorder="1" applyAlignment="1">
      <alignment horizontal="left" vertical="center" readingOrder="1"/>
    </xf>
    <xf numFmtId="8" fontId="40" fillId="11" borderId="5" xfId="0" applyNumberFormat="1" applyFont="1" applyFill="1" applyBorder="1" applyAlignment="1">
      <alignment horizontal="left" vertical="center" readingOrder="1"/>
    </xf>
    <xf numFmtId="8" fontId="40" fillId="11" borderId="2" xfId="0" applyNumberFormat="1" applyFont="1" applyFill="1" applyBorder="1" applyAlignment="1">
      <alignment horizontal="left" vertical="center" readingOrder="1"/>
    </xf>
    <xf numFmtId="0" fontId="10" fillId="4" borderId="0" xfId="2" applyAlignment="1">
      <alignment horizontal="right" readingOrder="2"/>
    </xf>
    <xf numFmtId="0" fontId="11" fillId="6" borderId="0" xfId="3" applyFill="1" applyAlignment="1">
      <alignment horizontal="right" vertical="center" indent="2" readingOrder="2"/>
    </xf>
    <xf numFmtId="0" fontId="11" fillId="5" borderId="0" xfId="3" applyFill="1" applyAlignment="1">
      <alignment horizontal="right" vertical="center" indent="2" readingOrder="2"/>
    </xf>
    <xf numFmtId="0" fontId="11" fillId="7" borderId="0" xfId="3" applyFill="1" applyAlignment="1">
      <alignment horizontal="right" vertical="center" indent="2" readingOrder="2"/>
    </xf>
    <xf numFmtId="0" fontId="11" fillId="4" borderId="0" xfId="3" applyFill="1" applyAlignment="1">
      <alignment horizontal="right" vertical="center" indent="2" readingOrder="2"/>
    </xf>
    <xf numFmtId="0" fontId="0" fillId="11" borderId="2" xfId="0" applyFill="1" applyBorder="1" applyAlignment="1">
      <alignment horizontal="right" vertical="center" indent="1" readingOrder="2"/>
    </xf>
    <xf numFmtId="8" fontId="0" fillId="11" borderId="2" xfId="0" applyNumberFormat="1" applyFill="1" applyBorder="1" applyAlignment="1">
      <alignment horizontal="left" vertical="center" indent="2" readingOrder="1"/>
    </xf>
    <xf numFmtId="9" fontId="0" fillId="11" borderId="2" xfId="0" applyNumberFormat="1" applyFill="1" applyBorder="1" applyAlignment="1">
      <alignment horizontal="left" vertical="center" indent="2" readingOrder="2"/>
    </xf>
    <xf numFmtId="0" fontId="0" fillId="11" borderId="2" xfId="0" applyFill="1" applyBorder="1" applyAlignment="1">
      <alignment horizontal="right" vertical="center" indent="2" readingOrder="2"/>
    </xf>
    <xf numFmtId="0" fontId="0" fillId="11" borderId="5" xfId="0" applyFill="1" applyBorder="1" applyAlignment="1">
      <alignment horizontal="right" vertical="center" indent="2" readingOrder="2"/>
    </xf>
    <xf numFmtId="8" fontId="0" fillId="11" borderId="5" xfId="0" applyNumberFormat="1" applyFill="1" applyBorder="1" applyAlignment="1">
      <alignment horizontal="left" vertical="center" indent="2" readingOrder="1"/>
    </xf>
    <xf numFmtId="9" fontId="0" fillId="11" borderId="5" xfId="0" applyNumberFormat="1" applyFill="1" applyBorder="1" applyAlignment="1">
      <alignment horizontal="left" vertical="center" indent="2" readingOrder="2"/>
    </xf>
    <xf numFmtId="0" fontId="0" fillId="10" borderId="0" xfId="0" applyAlignment="1">
      <alignment horizontal="left" indent="1"/>
    </xf>
    <xf numFmtId="166" fontId="0" fillId="10" borderId="0" xfId="0" applyNumberFormat="1" applyAlignment="1">
      <alignment horizontal="right"/>
    </xf>
    <xf numFmtId="9" fontId="0" fillId="10" borderId="0" xfId="0" applyNumberFormat="1" applyAlignment="1">
      <alignment horizontal="right"/>
    </xf>
    <xf numFmtId="0" fontId="23" fillId="10" borderId="0" xfId="0" applyFont="1" applyAlignment="1">
      <alignment wrapText="1"/>
    </xf>
    <xf numFmtId="0" fontId="32" fillId="10" borderId="0" xfId="0" applyFont="1" applyAlignment="1">
      <alignment wrapText="1"/>
    </xf>
    <xf numFmtId="0" fontId="32" fillId="10" borderId="0" xfId="0" applyFont="1"/>
    <xf numFmtId="0" fontId="10" fillId="4" borderId="0" xfId="2" applyAlignment="1">
      <alignment horizontal="right" indent="1" readingOrder="2"/>
    </xf>
    <xf numFmtId="0" fontId="7" fillId="4" borderId="0" xfId="5" applyFill="1" applyAlignment="1">
      <alignment horizontal="right" vertical="top" indent="1" readingOrder="2"/>
    </xf>
    <xf numFmtId="0" fontId="41" fillId="4" borderId="0" xfId="5" applyFont="1" applyFill="1" applyAlignment="1">
      <alignment horizontal="right" vertical="top" indent="1" readingOrder="2"/>
    </xf>
    <xf numFmtId="0" fontId="10" fillId="4" borderId="0" xfId="2" applyAlignment="1">
      <alignment horizontal="left" vertical="center" indent="3" readingOrder="2"/>
    </xf>
    <xf numFmtId="0" fontId="51" fillId="11" borderId="0" xfId="0" applyFont="1" applyFill="1" applyAlignment="1">
      <alignment horizontal="center"/>
    </xf>
  </cellXfs>
  <cellStyles count="47">
    <cellStyle name="20% - הדגשה1" xfId="24" builtinId="30" customBuiltin="1"/>
    <cellStyle name="20% - הדגשה2" xfId="28" builtinId="34" customBuiltin="1"/>
    <cellStyle name="20% - הדגשה3" xfId="32" builtinId="38" customBuiltin="1"/>
    <cellStyle name="20% - הדגשה4" xfId="36" builtinId="42" customBuiltin="1"/>
    <cellStyle name="20% - הדגשה5" xfId="40" builtinId="46" customBuiltin="1"/>
    <cellStyle name="20% - הדגשה6" xfId="44" builtinId="50" customBuiltin="1"/>
    <cellStyle name="40% - הדגשה1" xfId="25" builtinId="31" customBuiltin="1"/>
    <cellStyle name="40% - הדגשה2" xfId="29" builtinId="35" customBuiltin="1"/>
    <cellStyle name="40% - הדגשה3" xfId="33" builtinId="39" customBuiltin="1"/>
    <cellStyle name="40% - הדגשה4" xfId="37" builtinId="43" customBuiltin="1"/>
    <cellStyle name="40% - הדגשה5" xfId="41" builtinId="47" customBuiltin="1"/>
    <cellStyle name="40% - הדגשה6" xfId="45" builtinId="51" customBuiltin="1"/>
    <cellStyle name="60% - הדגשה1" xfId="26" builtinId="32" customBuiltin="1"/>
    <cellStyle name="60% - הדגשה2" xfId="30" builtinId="36" customBuiltin="1"/>
    <cellStyle name="60% - הדגשה3" xfId="34" builtinId="40" customBuiltin="1"/>
    <cellStyle name="60% - הדגשה4" xfId="38" builtinId="44" customBuiltin="1"/>
    <cellStyle name="60% - הדגשה5" xfId="42" builtinId="48" customBuiltin="1"/>
    <cellStyle name="60% - הדגשה6" xfId="46" builtinId="52" customBuiltin="1"/>
    <cellStyle name="Comma" xfId="6" builtinId="3" customBuiltin="1"/>
    <cellStyle name="Currency" xfId="8" builtinId="4" customBuiltin="1"/>
    <cellStyle name="Normal" xfId="0" builtinId="0" customBuiltin="1"/>
    <cellStyle name="Percent" xfId="10" builtinId="5" customBuiltin="1"/>
    <cellStyle name="הדגשה1" xfId="23" builtinId="29" customBuiltin="1"/>
    <cellStyle name="הדגשה2" xfId="27" builtinId="33" customBuiltin="1"/>
    <cellStyle name="הדגשה3" xfId="31" builtinId="37" customBuiltin="1"/>
    <cellStyle name="הדגשה4" xfId="35" builtinId="41" customBuiltin="1"/>
    <cellStyle name="הדגשה5" xfId="39" builtinId="45" customBuiltin="1"/>
    <cellStyle name="הדגשה6" xfId="43" builtinId="49" customBuiltin="1"/>
    <cellStyle name="הערה" xfId="21" builtinId="10" customBuiltin="1"/>
    <cellStyle name="חישוב" xfId="17" builtinId="22" customBuiltin="1"/>
    <cellStyle name="טוב" xfId="12" builtinId="26" customBuiltin="1"/>
    <cellStyle name="טקסט אזהרה" xfId="20" builtinId="11" customBuiltin="1"/>
    <cellStyle name="טקסט הסברי" xfId="5" builtinId="53" customBuiltin="1"/>
    <cellStyle name="כותרת" xfId="11" builtinId="15" customBuiltin="1"/>
    <cellStyle name="כותרת 1" xfId="1" builtinId="16" customBuiltin="1"/>
    <cellStyle name="כותרת 2" xfId="2" builtinId="17" customBuiltin="1"/>
    <cellStyle name="כותרת 3" xfId="3" builtinId="18" customBuiltin="1"/>
    <cellStyle name="כותרת 4" xfId="4" builtinId="19" customBuiltin="1"/>
    <cellStyle name="מטבע [0]" xfId="9" builtinId="7" customBuiltin="1"/>
    <cellStyle name="ניטראלי" xfId="14" builtinId="28" customBuiltin="1"/>
    <cellStyle name="סה&quot;כ" xfId="22" builtinId="25" customBuiltin="1"/>
    <cellStyle name="פלט" xfId="16" builtinId="21" customBuiltin="1"/>
    <cellStyle name="פסיק [0]" xfId="7" builtinId="6" customBuiltin="1"/>
    <cellStyle name="קלט" xfId="15" builtinId="20" customBuiltin="1"/>
    <cellStyle name="רע" xfId="13" builtinId="27" customBuiltin="1"/>
    <cellStyle name="תא מסומן" xfId="19" builtinId="23" customBuiltin="1"/>
    <cellStyle name="תא מקושר" xfId="18" builtinId="24" customBuiltin="1"/>
  </cellStyles>
  <dxfs count="532">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b val="0"/>
        <i val="0"/>
        <strike val="0"/>
        <condense val="0"/>
        <extend val="0"/>
        <outline val="0"/>
        <shadow val="0"/>
        <u val="none"/>
        <vertAlign val="baseline"/>
        <sz val="9"/>
        <color theme="1" tint="0.24994659260841701"/>
        <name val="Tahoma"/>
        <family val="2"/>
        <scheme val="none"/>
      </font>
      <numFmt numFmtId="13" formatCode="0%"/>
      <fill>
        <patternFill patternType="solid">
          <fgColor indexed="64"/>
          <bgColor theme="6" tint="0.79998168889431442"/>
        </patternFill>
      </fill>
      <alignment horizontal="left" vertical="center" textRotation="0" wrapText="0" indent="2" justifyLastLine="0" shrinkToFit="0" readingOrder="2"/>
      <border diagonalUp="0" diagonalDown="0" outline="0">
        <left style="medium">
          <color theme="6" tint="0.39997558519241921"/>
        </left>
        <right style="medium">
          <color theme="6" tint="0.39997558519241921"/>
        </right>
        <top/>
        <bottom/>
      </border>
    </dxf>
    <dxf>
      <font>
        <b val="0"/>
        <i val="0"/>
        <strike val="0"/>
        <condense val="0"/>
        <extend val="0"/>
        <outline val="0"/>
        <shadow val="0"/>
        <u val="none"/>
        <vertAlign val="baseline"/>
        <sz val="9"/>
        <color theme="1" tint="0.24994659260841701"/>
        <name val="Tahoma"/>
        <family val="2"/>
        <scheme val="none"/>
      </font>
      <numFmt numFmtId="13" formatCode="0%"/>
      <fill>
        <patternFill patternType="solid">
          <fgColor indexed="64"/>
          <bgColor theme="6" tint="0.79998168889431442"/>
        </patternFill>
      </fill>
      <alignment horizontal="left" vertical="center" textRotation="0" wrapText="0" indent="2" justifyLastLine="0" shrinkToFit="0" readingOrder="2"/>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val="0"/>
        <i val="0"/>
        <strike val="0"/>
        <condense val="0"/>
        <extend val="0"/>
        <outline val="0"/>
        <shadow val="0"/>
        <u val="none"/>
        <vertAlign val="baseline"/>
        <sz val="9"/>
        <color theme="1" tint="0.24994659260841701"/>
        <name val="Tahoma"/>
        <family val="2"/>
        <scheme val="none"/>
      </font>
      <fill>
        <patternFill patternType="solid">
          <fgColor indexed="64"/>
          <bgColor theme="6" tint="0.79998168889431442"/>
        </patternFill>
      </fill>
      <alignment horizontal="left" vertical="center" textRotation="0" wrapText="0" indent="2" justifyLastLine="0" shrinkToFit="0" readingOrder="1"/>
      <border diagonalUp="0" diagonalDown="0" outline="0">
        <left style="medium">
          <color theme="6" tint="0.39997558519241921"/>
        </left>
        <right style="medium">
          <color theme="6" tint="0.39997558519241921"/>
        </right>
        <top/>
        <bottom/>
      </border>
    </dxf>
    <dxf>
      <font>
        <b val="0"/>
        <i val="0"/>
        <strike val="0"/>
        <condense val="0"/>
        <extend val="0"/>
        <outline val="0"/>
        <shadow val="0"/>
        <u val="none"/>
        <vertAlign val="baseline"/>
        <sz val="9"/>
        <color theme="1" tint="0.2499465926084170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2"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val="0"/>
        <i val="0"/>
        <strike val="0"/>
        <condense val="0"/>
        <extend val="0"/>
        <outline val="0"/>
        <shadow val="0"/>
        <u val="none"/>
        <vertAlign val="baseline"/>
        <sz val="9"/>
        <color theme="1" tint="0.24994659260841701"/>
        <name val="Tahoma"/>
        <family val="2"/>
        <scheme val="none"/>
      </font>
      <fill>
        <patternFill patternType="solid">
          <fgColor indexed="64"/>
          <bgColor theme="6" tint="0.79998168889431442"/>
        </patternFill>
      </fill>
      <alignment horizontal="left" vertical="center" textRotation="0" wrapText="0" indent="2" justifyLastLine="0" shrinkToFit="0" readingOrder="1"/>
      <border diagonalUp="0" diagonalDown="0" outline="0">
        <left style="medium">
          <color theme="6" tint="0.39997558519241921"/>
        </left>
        <right style="medium">
          <color theme="6" tint="0.39997558519241921"/>
        </right>
        <top/>
        <bottom/>
      </border>
    </dxf>
    <dxf>
      <font>
        <b val="0"/>
        <i val="0"/>
        <strike val="0"/>
        <condense val="0"/>
        <extend val="0"/>
        <outline val="0"/>
        <shadow val="0"/>
        <u val="none"/>
        <vertAlign val="baseline"/>
        <sz val="9"/>
        <color theme="1" tint="0.2499465926084170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2"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val="0"/>
        <i val="0"/>
        <strike val="0"/>
        <condense val="0"/>
        <extend val="0"/>
        <outline val="0"/>
        <shadow val="0"/>
        <u val="none"/>
        <vertAlign val="baseline"/>
        <sz val="9"/>
        <color theme="1" tint="0.24994659260841701"/>
        <name val="Tahoma"/>
        <family val="2"/>
        <scheme val="none"/>
      </font>
      <fill>
        <patternFill patternType="solid">
          <fgColor indexed="64"/>
          <bgColor theme="6" tint="0.79998168889431442"/>
        </patternFill>
      </fill>
      <alignment horizontal="left" vertical="center" textRotation="0" wrapText="0" indent="2" justifyLastLine="0" shrinkToFit="0" readingOrder="1"/>
      <border diagonalUp="0" diagonalDown="0" outline="0">
        <left style="medium">
          <color theme="6" tint="0.39997558519241921"/>
        </left>
        <right style="medium">
          <color theme="6" tint="0.39997558519241921"/>
        </right>
        <top/>
        <bottom/>
      </border>
    </dxf>
    <dxf>
      <font>
        <b val="0"/>
        <i val="0"/>
        <strike val="0"/>
        <condense val="0"/>
        <extend val="0"/>
        <outline val="0"/>
        <shadow val="0"/>
        <u val="none"/>
        <vertAlign val="baseline"/>
        <sz val="9"/>
        <color theme="1" tint="0.2499465926084170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2"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val="0"/>
        <i val="0"/>
        <strike val="0"/>
        <condense val="0"/>
        <extend val="0"/>
        <outline val="0"/>
        <shadow val="0"/>
        <u val="none"/>
        <vertAlign val="baseline"/>
        <sz val="9"/>
        <color theme="1" tint="0.24994659260841701"/>
        <name val="Tahoma"/>
        <family val="2"/>
        <scheme val="none"/>
      </font>
      <fill>
        <patternFill patternType="solid">
          <fgColor indexed="64"/>
          <bgColor theme="6" tint="0.79998168889431442"/>
        </patternFill>
      </fill>
      <alignment horizontal="left" vertical="center" textRotation="0" wrapText="0" indent="2" justifyLastLine="0" shrinkToFit="0" readingOrder="0"/>
      <border diagonalUp="0" diagonalDown="0" outline="0">
        <left style="medium">
          <color theme="6" tint="0.39997558519241921"/>
        </left>
        <right style="medium">
          <color theme="6" tint="0.39997558519241921"/>
        </right>
        <top/>
        <bottom/>
      </border>
    </dxf>
    <dxf>
      <font>
        <b val="0"/>
        <i val="0"/>
        <strike val="0"/>
        <condense val="0"/>
        <extend val="0"/>
        <outline val="0"/>
        <shadow val="0"/>
        <u val="none"/>
        <vertAlign val="baseline"/>
        <sz val="9"/>
        <color theme="1" tint="0.24994659260841701"/>
        <name val="Tahoma"/>
        <family val="2"/>
        <scheme val="none"/>
      </font>
      <numFmt numFmtId="0" formatCode="General"/>
      <fill>
        <patternFill patternType="solid">
          <fgColor indexed="64"/>
          <bgColor theme="6" tint="0.79998168889431442"/>
        </patternFill>
      </fill>
      <alignment horizontal="left" vertical="center" textRotation="0" wrapText="0" indent="2" justifyLastLine="0" shrinkToFit="0" readingOrder="0"/>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strike val="0"/>
        <outline val="0"/>
        <shadow val="0"/>
        <u val="none"/>
        <vertAlign val="baseline"/>
        <name val="Tahoma"/>
        <family val="2"/>
        <scheme val="none"/>
      </font>
    </dxf>
    <dxf>
      <border outline="0">
        <bottom style="medium">
          <color theme="6" tint="0.39997558519241921"/>
        </bottom>
      </border>
    </dxf>
    <dxf>
      <font>
        <b val="0"/>
        <i val="0"/>
        <strike val="0"/>
        <condense val="0"/>
        <extend val="0"/>
        <outline val="0"/>
        <shadow val="0"/>
        <u val="none"/>
        <vertAlign val="baseline"/>
        <sz val="9"/>
        <color theme="1" tint="0.24994659260841701"/>
        <name val="Tahoma"/>
        <family val="2"/>
        <scheme val="none"/>
      </font>
      <fill>
        <patternFill patternType="solid">
          <fgColor indexed="64"/>
          <bgColor theme="6" tint="0.79998168889431442"/>
        </patternFill>
      </fill>
      <alignment horizontal="right" vertical="center" textRotation="0" wrapText="0" indent="2" justifyLastLine="0" shrinkToFit="0" readingOrder="0"/>
    </dxf>
    <dxf>
      <font>
        <strike val="0"/>
        <outline val="0"/>
        <shadow val="0"/>
        <u val="none"/>
        <vertAlign val="baseline"/>
        <name val="Tahoma"/>
        <family val="2"/>
        <scheme val="none"/>
      </font>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auto="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auto="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auto="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auto="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auto="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auto="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auto="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auto="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auto="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auto="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auto="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auto="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top/>
        <bottom/>
      </border>
    </dxf>
    <dxf>
      <font>
        <b/>
        <i val="0"/>
        <strike val="0"/>
        <condense val="0"/>
        <extend val="0"/>
        <outline val="0"/>
        <shadow val="0"/>
        <u val="none"/>
        <vertAlign val="baseline"/>
        <sz val="9"/>
        <color auto="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10"/>
        <color theme="0"/>
        <name val="Tahoma"/>
        <family val="2"/>
        <scheme val="none"/>
      </font>
      <fill>
        <patternFill patternType="solid">
          <fgColor indexed="64"/>
          <bgColor theme="3"/>
        </patternFill>
      </fill>
      <alignment horizontal="left" vertical="center" textRotation="0" wrapText="0" indent="1" justifyLastLine="0" shrinkToFit="0" readingOrder="0"/>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10"/>
        <color theme="0"/>
        <name val="Tahoma"/>
        <family val="2"/>
        <scheme val="none"/>
      </font>
      <numFmt numFmtId="0" formatCode="General"/>
      <fill>
        <patternFill patternType="solid">
          <fgColor indexed="64"/>
          <bgColor theme="3"/>
        </patternFill>
      </fill>
      <alignment horizontal="left" vertical="center" textRotation="0" wrapText="0" relativeIndent="1" justifyLastLine="0" shrinkToFit="0" readingOrder="0"/>
      <border diagonalUp="0" diagonalDown="0" outline="0">
        <left style="medium">
          <color theme="6" tint="0.39997558519241921"/>
        </left>
        <right style="medium">
          <color theme="6" tint="0.39997558519241921"/>
        </right>
        <top style="medium">
          <color theme="6" tint="0.39997558519241921"/>
        </top>
        <bottom/>
      </border>
    </dxf>
    <dxf>
      <font>
        <strike val="0"/>
        <outline val="0"/>
        <shadow val="0"/>
        <vertAlign val="baseline"/>
        <name val="Tahoma"/>
        <family val="2"/>
        <scheme val="none"/>
      </font>
    </dxf>
    <dxf>
      <border outline="0">
        <bottom style="medium">
          <color theme="6" tint="0.39997558519241921"/>
        </bottom>
      </border>
    </dxf>
    <dxf>
      <font>
        <b/>
        <i val="0"/>
        <strike val="0"/>
        <condense val="0"/>
        <extend val="0"/>
        <outline val="0"/>
        <shadow val="0"/>
        <u val="none"/>
        <vertAlign val="baseline"/>
        <sz val="9"/>
        <color auto="1"/>
        <name val="Tahoma"/>
        <family val="2"/>
        <scheme val="none"/>
      </font>
      <numFmt numFmtId="0" formatCode="General"/>
      <fill>
        <patternFill patternType="solid">
          <fgColor indexed="64"/>
          <bgColor theme="6" tint="0.79998168889431442"/>
        </patternFill>
      </fill>
      <alignment horizontal="right" vertical="bottom" textRotation="0" wrapText="0" indent="0" justifyLastLine="0" shrinkToFit="0" readingOrder="0"/>
    </dxf>
    <dxf>
      <font>
        <b/>
        <i val="0"/>
        <strike val="0"/>
        <condense val="0"/>
        <extend val="0"/>
        <outline val="0"/>
        <shadow val="0"/>
        <u val="none"/>
        <vertAlign val="baseline"/>
        <sz val="14"/>
        <color theme="2"/>
        <name val="Tahoma"/>
        <family val="2"/>
        <scheme val="none"/>
      </font>
      <numFmt numFmtId="0" formatCode="General"/>
      <fill>
        <patternFill patternType="solid">
          <fgColor indexed="64"/>
          <bgColor theme="3" tint="-0.499984740745262"/>
        </patternFill>
      </fill>
      <alignment horizontal="general" vertical="center" textRotation="0" wrapText="0" indent="0" justifyLastLine="0" shrinkToFit="0" readingOrder="0"/>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top/>
        <bottom/>
      </border>
    </dxf>
    <dxf>
      <font>
        <strike val="0"/>
        <outline val="0"/>
        <shadow val="0"/>
        <vertAlign val="baseline"/>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right style="medium">
          <color theme="6" tint="0.39994506668294322"/>
        </right>
        <top style="medium">
          <color theme="6" tint="0.39994506668294322"/>
        </top>
        <bottom style="medium">
          <color theme="6" tint="0.39994506668294322"/>
        </bottom>
      </border>
    </dxf>
    <dxf>
      <font>
        <b/>
        <i val="0"/>
        <strike val="0"/>
        <outline val="0"/>
        <shadow val="0"/>
        <u val="none"/>
        <vertAlign val="baseline"/>
        <sz val="10"/>
        <color theme="1" tint="0.24994659260841701"/>
        <name val="Tahoma"/>
        <family val="2"/>
        <scheme val="none"/>
      </font>
      <fill>
        <patternFill patternType="solid">
          <fgColor indexed="64"/>
          <bgColor theme="6" tint="0.79998168889431442"/>
        </patternFill>
      </fill>
      <alignment horizontal="right" vertical="center" textRotation="0" wrapText="0" indent="2" justifyLastLine="0" shrinkToFit="0" readingOrder="2"/>
      <border diagonalUp="0" diagonalDown="0" outline="0">
        <left/>
        <right style="medium">
          <color theme="6" tint="0.39994506668294322"/>
        </right>
        <top/>
        <bottom/>
      </border>
    </dxf>
    <dxf>
      <font>
        <b/>
        <strike val="0"/>
        <outline val="0"/>
        <shadow val="0"/>
        <u val="none"/>
        <vertAlign val="baseline"/>
        <sz val="10"/>
        <color theme="0"/>
        <name val="Tahoma"/>
        <family val="2"/>
        <scheme val="none"/>
      </font>
      <fill>
        <patternFill patternType="solid">
          <fgColor indexed="64"/>
          <bgColor theme="3"/>
        </patternFill>
      </fill>
      <alignment horizontal="left" vertical="center" textRotation="0" wrapText="0" relativeIndent="-1"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border>
        <top style="medium">
          <color theme="6" tint="0.39994506668294322"/>
        </top>
      </border>
    </dxf>
    <dxf>
      <font>
        <strike val="0"/>
        <outline val="0"/>
        <shadow val="0"/>
        <vertAlign val="baseline"/>
        <name val="Tahoma"/>
        <family val="2"/>
        <scheme val="none"/>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dxf>
    <dxf>
      <border>
        <bottom style="medium">
          <color theme="6" tint="0.39994506668294322"/>
        </bottom>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top/>
        <bottom/>
      </border>
    </dxf>
    <dxf>
      <font>
        <strike val="0"/>
        <outline val="0"/>
        <shadow val="0"/>
        <vertAlign val="baseline"/>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10"/>
        <color theme="1" tint="0.24994659260841701"/>
        <name val="Tahoma"/>
        <family val="2"/>
        <scheme val="none"/>
      </font>
      <fill>
        <patternFill patternType="solid">
          <fgColor indexed="64"/>
          <bgColor theme="6" tint="0.79998168889431442"/>
        </patternFill>
      </fill>
      <alignment horizontal="right" vertical="center" textRotation="0" wrapText="0" indent="2" justifyLastLine="0" shrinkToFit="0" readingOrder="2"/>
      <border diagonalUp="0" diagonalDown="0" outline="0">
        <left/>
        <right style="medium">
          <color theme="6" tint="0.39994506668294322"/>
        </right>
        <top/>
        <bottom/>
      </border>
    </dxf>
    <dxf>
      <font>
        <b/>
        <strike val="0"/>
        <outline val="0"/>
        <shadow val="0"/>
        <u val="none"/>
        <vertAlign val="baseline"/>
        <sz val="10"/>
        <color theme="0"/>
        <name val="Tahoma"/>
        <family val="2"/>
        <scheme val="none"/>
      </font>
      <fill>
        <patternFill patternType="solid">
          <fgColor indexed="64"/>
          <bgColor theme="3"/>
        </patternFill>
      </fill>
      <alignment horizontal="left" vertical="center" textRotation="0" wrapText="0" relativeIndent="-1"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border>
        <top style="medium">
          <color theme="6" tint="0.39994506668294322"/>
        </top>
      </border>
    </dxf>
    <dxf>
      <font>
        <strike val="0"/>
        <outline val="0"/>
        <shadow val="0"/>
        <vertAlign val="baseline"/>
        <name val="Tahoma"/>
        <family val="2"/>
        <scheme val="none"/>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dxf>
    <dxf>
      <border>
        <bottom style="medium">
          <color theme="6" tint="0.39994506668294322"/>
        </bottom>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top/>
        <bottom/>
      </border>
    </dxf>
    <dxf>
      <font>
        <strike val="0"/>
        <outline val="0"/>
        <shadow val="0"/>
        <vertAlign val="baseline"/>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right style="medium">
          <color theme="6" tint="0.39994506668294322"/>
        </right>
        <top style="medium">
          <color theme="6" tint="0.39994506668294322"/>
        </top>
        <bottom style="medium">
          <color theme="6" tint="0.39994506668294322"/>
        </bottom>
      </border>
    </dxf>
    <dxf>
      <font>
        <b/>
        <i val="0"/>
        <strike val="0"/>
        <outline val="0"/>
        <shadow val="0"/>
        <u val="none"/>
        <vertAlign val="baseline"/>
        <sz val="10"/>
        <color theme="1"/>
        <name val="Tahoma"/>
        <family val="2"/>
        <scheme val="none"/>
      </font>
      <fill>
        <patternFill patternType="solid">
          <fgColor indexed="64"/>
          <bgColor theme="6" tint="0.79998168889431442"/>
        </patternFill>
      </fill>
      <alignment horizontal="right" vertical="center" textRotation="0" wrapText="0" indent="1" justifyLastLine="0" shrinkToFit="0" readingOrder="2"/>
      <border diagonalUp="0" diagonalDown="0" outline="0">
        <left/>
        <right style="medium">
          <color theme="6" tint="0.39994506668294322"/>
        </right>
        <top/>
        <bottom/>
      </border>
    </dxf>
    <dxf>
      <font>
        <b/>
        <strike val="0"/>
        <outline val="0"/>
        <shadow val="0"/>
        <u val="none"/>
        <vertAlign val="baseline"/>
        <sz val="10"/>
        <color theme="0"/>
        <name val="Tahoma"/>
        <family val="2"/>
        <scheme val="none"/>
      </font>
      <fill>
        <patternFill patternType="solid">
          <fgColor indexed="64"/>
          <bgColor theme="3"/>
        </patternFill>
      </fill>
      <alignment horizontal="left" vertical="center" textRotation="0" wrapText="0" relativeIndent="-1"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border>
        <top style="medium">
          <color theme="6" tint="0.39994506668294322"/>
        </top>
      </border>
    </dxf>
    <dxf>
      <font>
        <strike val="0"/>
        <outline val="0"/>
        <shadow val="0"/>
        <vertAlign val="baseline"/>
        <name val="Tahoma"/>
        <family val="2"/>
        <scheme val="none"/>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dxf>
    <dxf>
      <border>
        <bottom style="medium">
          <color theme="6" tint="0.39994506668294322"/>
        </bottom>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b val="0"/>
        <strike val="0"/>
        <outline val="0"/>
        <shadow val="0"/>
        <vertAlign val="baseline"/>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dxf>
    <dxf>
      <font>
        <strike val="0"/>
        <outline val="0"/>
        <shadow val="0"/>
        <vertAlign val="baseline"/>
        <name val="Tahoma"/>
        <family val="2"/>
        <scheme val="none"/>
      </font>
      <numFmt numFmtId="166" formatCode="&quot;₪&quot;\ #,##0.00;[Red]&quot;₪&quot;\ #,##0.00"/>
      <alignment horizontal="right" vertical="center" textRotation="0" wrapText="0" indent="0" justifyLastLine="0" shrinkToFit="0" readingOrder="2"/>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dxf>
    <dxf>
      <font>
        <b/>
        <i val="0"/>
        <strike val="0"/>
        <outline val="0"/>
        <shadow val="0"/>
        <u val="none"/>
        <vertAlign val="baseline"/>
        <sz val="10"/>
        <color theme="1" tint="0.24994659260841701"/>
        <name val="Tahoma"/>
        <family val="2"/>
        <scheme val="none"/>
      </font>
      <fill>
        <patternFill patternType="solid">
          <fgColor indexed="64"/>
          <bgColor theme="6" tint="0.79998168889431442"/>
        </patternFill>
      </fill>
      <alignment horizontal="right" vertical="center" textRotation="0" wrapText="0" indent="1" justifyLastLine="0" shrinkToFit="0" readingOrder="2"/>
      <border diagonalUp="0" diagonalDown="0" outline="0">
        <left/>
        <right style="medium">
          <color theme="6" tint="0.39994506668294322"/>
        </right>
        <top/>
        <bottom/>
      </border>
    </dxf>
    <dxf>
      <font>
        <strike val="0"/>
        <outline val="0"/>
        <shadow val="0"/>
        <vertAlign val="baseline"/>
        <name val="Tahoma"/>
        <family val="2"/>
        <scheme val="none"/>
      </font>
      <alignment horizontal="left" vertical="center" textRotation="0" wrapText="0" relativeIndent="1" justifyLastLine="0" shrinkToFit="0" readingOrder="0"/>
    </dxf>
    <dxf>
      <border>
        <top style="medium">
          <color theme="6" tint="0.39994506668294322"/>
        </top>
      </border>
    </dxf>
    <dxf>
      <font>
        <strike val="0"/>
        <outline val="0"/>
        <shadow val="0"/>
        <vertAlign val="baseline"/>
        <name val="Tahoma"/>
        <family val="2"/>
        <scheme val="none"/>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dxf>
    <dxf>
      <border>
        <bottom style="medium">
          <color theme="6" tint="0.39994506668294322"/>
        </bottom>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bottom" textRotation="0" wrapText="0" indent="0" justifyLastLine="0" shrinkToFit="0" readingOrder="1"/>
      <border diagonalUp="0" diagonalDown="0" outline="0">
        <left style="medium">
          <color theme="6" tint="0.39997558519241921"/>
        </left>
        <right/>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bottom" textRotation="0" wrapText="0" indent="0" justifyLastLine="0" shrinkToFit="0" readingOrder="1"/>
      <border diagonalUp="0" diagonalDown="0" outline="0">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10"/>
        <color theme="0"/>
        <name val="Tahoma"/>
        <family val="2"/>
        <scheme val="none"/>
      </font>
      <fill>
        <patternFill patternType="solid">
          <fgColor indexed="64"/>
          <bgColor theme="3"/>
        </patternFill>
      </fill>
      <alignment horizontal="left" vertical="center" textRotation="0" wrapText="0" indent="1" justifyLastLine="0" shrinkToFit="0" readingOrder="0"/>
      <border diagonalUp="0" diagonalDown="0" outline="0">
        <left/>
        <right/>
        <top/>
        <bottom/>
      </border>
    </dxf>
    <dxf>
      <font>
        <b/>
        <i val="0"/>
        <strike val="0"/>
        <condense val="0"/>
        <extend val="0"/>
        <outline val="0"/>
        <shadow val="0"/>
        <u val="none"/>
        <vertAlign val="baseline"/>
        <sz val="10"/>
        <color theme="0"/>
        <name val="Tahoma"/>
        <family val="2"/>
        <scheme val="none"/>
      </font>
      <numFmt numFmtId="0" formatCode="General"/>
      <fill>
        <patternFill patternType="solid">
          <fgColor indexed="64"/>
          <bgColor theme="3"/>
        </patternFill>
      </fill>
      <alignment horizontal="left" vertical="center" textRotation="0" wrapText="0" relativeIndent="1" justifyLastLine="0" shrinkToFit="0" readingOrder="0"/>
      <border diagonalUp="0" diagonalDown="0" outline="0">
        <left/>
        <right/>
        <top style="medium">
          <color theme="6" tint="0.39997558519241921"/>
        </top>
        <bottom/>
      </border>
    </dxf>
    <dxf>
      <font>
        <strike val="0"/>
        <outline val="0"/>
        <shadow val="0"/>
        <vertAlign val="baseline"/>
        <name val="Tahoma"/>
        <family val="2"/>
        <scheme val="none"/>
      </font>
    </dxf>
    <dxf>
      <border outline="0">
        <left style="medium">
          <color theme="6" tint="0.39997558519241921"/>
        </left>
        <bottom style="medium">
          <color theme="6" tint="0.39997558519241921"/>
        </bottom>
      </border>
    </dxf>
    <dxf>
      <font>
        <b/>
        <i val="0"/>
        <strike val="0"/>
        <condense val="0"/>
        <extend val="0"/>
        <outline val="0"/>
        <shadow val="0"/>
        <u val="none"/>
        <vertAlign val="baseline"/>
        <sz val="9"/>
        <color theme="1"/>
        <name val="Tahoma"/>
        <family val="2"/>
        <scheme val="none"/>
      </font>
      <numFmt numFmtId="0" formatCode="General"/>
      <fill>
        <patternFill patternType="solid">
          <fgColor indexed="64"/>
          <bgColor theme="6" tint="0.79998168889431442"/>
        </patternFill>
      </fill>
      <alignment horizontal="right" vertical="bottom" textRotation="0" wrapText="0" indent="0" justifyLastLine="0" shrinkToFit="0" readingOrder="0"/>
    </dxf>
    <dxf>
      <font>
        <b/>
        <i val="0"/>
        <strike val="0"/>
        <condense val="0"/>
        <extend val="0"/>
        <outline val="0"/>
        <shadow val="0"/>
        <u val="none"/>
        <vertAlign val="baseline"/>
        <sz val="14"/>
        <color theme="2"/>
        <name val="Tahoma"/>
        <family val="2"/>
        <scheme val="none"/>
      </font>
      <numFmt numFmtId="0" formatCode="General"/>
      <fill>
        <patternFill patternType="solid">
          <fgColor indexed="64"/>
          <bgColor theme="3" tint="-0.499984740745262"/>
        </patternFill>
      </fill>
      <alignment horizontal="general" vertical="center" textRotation="0" wrapText="0" indent="0" justifyLastLine="0" shrinkToFit="0" readingOrder="0"/>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top/>
        <bottom/>
      </border>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righ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right style="medium">
          <color theme="6" tint="0.39994506668294322"/>
        </right>
        <top style="medium">
          <color theme="6" tint="0.39994506668294322"/>
        </top>
        <bottom style="medium">
          <color theme="6" tint="0.39994506668294322"/>
        </bottom>
      </border>
    </dxf>
    <dxf>
      <font>
        <b/>
        <i val="0"/>
        <strike val="0"/>
        <outline val="0"/>
        <shadow val="0"/>
        <u val="none"/>
        <vertAlign val="baseline"/>
        <sz val="10"/>
        <color auto="1"/>
        <name val="Tahoma"/>
        <family val="2"/>
        <scheme val="none"/>
      </font>
      <fill>
        <patternFill patternType="solid">
          <fgColor indexed="64"/>
          <bgColor theme="6" tint="0.79998168889431442"/>
        </patternFill>
      </fill>
      <alignment horizontal="right" vertical="center" textRotation="0" wrapText="0" indent="1" justifyLastLine="0" shrinkToFit="0" readingOrder="2"/>
      <border diagonalUp="0" diagonalDown="0" outline="0">
        <left/>
        <right/>
        <top style="medium">
          <color theme="6" tint="0.39994506668294322"/>
        </top>
        <bottom style="medium">
          <color theme="6" tint="0.39994506668294322"/>
        </bottom>
      </border>
    </dxf>
    <dxf>
      <font>
        <strike val="0"/>
        <outline val="0"/>
        <shadow val="0"/>
        <vertAlign val="baseline"/>
        <name val="Tahoma"/>
        <family val="2"/>
        <scheme val="none"/>
      </font>
      <alignment horizontal="left" vertical="center" textRotation="0" wrapTex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dxf>
    <dxf>
      <border>
        <bottom style="medium">
          <color theme="6" tint="0.39994506668294322"/>
        </bottom>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top/>
        <bottom/>
      </border>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right style="medium">
          <color theme="6" tint="0.39994506668294322"/>
        </right>
        <top style="medium">
          <color theme="6" tint="0.39994506668294322"/>
        </top>
        <bottom style="medium">
          <color theme="6" tint="0.39994506668294322"/>
        </bottom>
      </border>
    </dxf>
    <dxf>
      <font>
        <b/>
        <i val="0"/>
        <strike val="0"/>
        <outline val="0"/>
        <shadow val="0"/>
        <u val="none"/>
        <vertAlign val="baseline"/>
        <sz val="10"/>
        <color auto="1"/>
        <name val="Tahoma"/>
        <family val="2"/>
        <scheme val="none"/>
      </font>
      <fill>
        <patternFill patternType="solid">
          <fgColor indexed="64"/>
          <bgColor theme="6" tint="0.79998168889431442"/>
        </patternFill>
      </fill>
      <alignment horizontal="right" vertical="center" textRotation="0" wrapText="0" indent="2" justifyLastLine="0" shrinkToFit="0" readingOrder="2"/>
      <border diagonalUp="0" diagonalDown="0" outline="0">
        <left/>
        <right style="medium">
          <color theme="6" tint="0.39994506668294322"/>
        </right>
        <top/>
        <bottom/>
      </border>
    </dxf>
    <dxf>
      <font>
        <b/>
        <strike val="0"/>
        <outline val="0"/>
        <shadow val="0"/>
        <u val="none"/>
        <vertAlign val="baseline"/>
        <sz val="10"/>
        <color theme="0"/>
        <name val="Tahoma"/>
        <family val="2"/>
        <scheme val="none"/>
      </font>
      <fill>
        <patternFill patternType="solid">
          <fgColor indexed="64"/>
          <bgColor theme="3"/>
        </patternFill>
      </fill>
      <alignment horizontal="left" vertical="center" textRotation="0" wrapText="0" relativeIndent="-1" justifyLastLine="0" shrinkToFit="0" readingOrder="0"/>
      <border diagonalUp="0" diagonalDown="0" outline="0">
        <left/>
        <right style="medium">
          <color theme="6" tint="0.39994506668294322"/>
        </right>
        <top style="medium">
          <color theme="6" tint="0.39994506668294322"/>
        </top>
        <bottom style="medium">
          <color theme="6" tint="0.39994506668294322"/>
        </bottom>
      </border>
    </dxf>
    <dxf>
      <border>
        <top style="medium">
          <color theme="6" tint="0.39994506668294322"/>
        </top>
      </border>
    </dxf>
    <dxf>
      <font>
        <strike val="0"/>
        <outline val="0"/>
        <shadow val="0"/>
        <vertAlign val="baseline"/>
        <name val="Tahoma"/>
        <family val="2"/>
        <scheme val="none"/>
      </font>
      <fill>
        <patternFill patternType="solid">
          <fgColor indexed="64"/>
          <bgColor theme="6" tint="0.79998168889431442"/>
        </patternFill>
      </fill>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dxf>
    <dxf>
      <border>
        <bottom style="medium">
          <color theme="6" tint="0.39994506668294322"/>
        </bottom>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top/>
        <bottom/>
      </border>
    </dxf>
    <dxf>
      <font>
        <strike val="0"/>
        <outline val="0"/>
        <shadow val="0"/>
        <vertAlign val="baseline"/>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auto="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right style="medium">
          <color theme="6" tint="0.39994506668294322"/>
        </right>
        <top style="medium">
          <color theme="6" tint="0.39994506668294322"/>
        </top>
        <bottom style="medium">
          <color theme="6" tint="0.39994506668294322"/>
        </bottom>
      </border>
    </dxf>
    <dxf>
      <font>
        <b/>
        <i val="0"/>
        <strike val="0"/>
        <outline val="0"/>
        <shadow val="0"/>
        <u val="none"/>
        <vertAlign val="baseline"/>
        <sz val="10"/>
        <color auto="1"/>
        <name val="Tahoma"/>
        <family val="2"/>
        <scheme val="none"/>
      </font>
      <fill>
        <patternFill patternType="solid">
          <fgColor indexed="64"/>
          <bgColor theme="6" tint="0.79998168889431442"/>
        </patternFill>
      </fill>
      <alignment horizontal="right" vertical="center" textRotation="0" wrapText="0" indent="1" justifyLastLine="0" shrinkToFit="0" readingOrder="2"/>
      <border diagonalUp="0" diagonalDown="0" outline="0">
        <left/>
        <right style="medium">
          <color theme="6" tint="0.39994506668294322"/>
        </right>
        <top/>
        <bottom/>
      </border>
    </dxf>
    <dxf>
      <font>
        <strike val="0"/>
        <outline val="0"/>
        <shadow val="0"/>
        <vertAlign val="baseline"/>
        <name val="Tahoma"/>
        <family val="2"/>
        <scheme val="none"/>
      </font>
      <alignment horizontal="left" vertical="center" textRotation="0" wrapTex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dxf>
    <dxf>
      <border>
        <bottom style="medium">
          <color theme="6" tint="0.39994506668294322"/>
        </bottom>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top/>
        <bottom/>
      </border>
    </dxf>
    <dxf>
      <font>
        <strike val="0"/>
        <outline val="0"/>
        <shadow val="0"/>
        <vertAlign val="baseline"/>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right style="medium">
          <color theme="6" tint="0.39994506668294322"/>
        </right>
        <top style="medium">
          <color theme="6" tint="0.39994506668294322"/>
        </top>
        <bottom style="medium">
          <color theme="6" tint="0.39994506668294322"/>
        </bottom>
      </border>
    </dxf>
    <dxf>
      <font>
        <b/>
        <i val="0"/>
        <strike val="0"/>
        <outline val="0"/>
        <shadow val="0"/>
        <u val="none"/>
        <vertAlign val="baseline"/>
        <sz val="10"/>
        <color auto="1"/>
        <name val="Tahoma"/>
        <family val="2"/>
        <scheme val="none"/>
      </font>
      <fill>
        <patternFill patternType="solid">
          <fgColor indexed="64"/>
          <bgColor theme="6" tint="0.79998168889431442"/>
        </patternFill>
      </fill>
      <alignment horizontal="right" vertical="center" textRotation="0" wrapText="0" indent="2" justifyLastLine="0" shrinkToFit="0" readingOrder="2"/>
      <border diagonalUp="0" diagonalDown="0" outline="0">
        <left/>
        <right style="medium">
          <color theme="6" tint="0.39994506668294322"/>
        </right>
        <top/>
        <bottom/>
      </border>
    </dxf>
    <dxf>
      <font>
        <b/>
        <strike val="0"/>
        <outline val="0"/>
        <shadow val="0"/>
        <u val="none"/>
        <vertAlign val="baseline"/>
        <sz val="10"/>
        <color theme="0"/>
        <name val="Tahoma"/>
        <family val="2"/>
        <scheme val="none"/>
      </font>
      <fill>
        <patternFill patternType="solid">
          <fgColor indexed="64"/>
          <bgColor theme="3"/>
        </patternFill>
      </fill>
      <alignment horizontal="left" vertical="center" textRotation="0" wrapTex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dxf>
    <dxf>
      <border>
        <bottom style="medium">
          <color theme="6" tint="0.39994506668294322"/>
        </bottom>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font>
        <b/>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style="medium">
          <color theme="6" tint="0.39997558519241921"/>
        </left>
        <right style="medium">
          <color theme="6" tint="0.39997558519241921"/>
        </right>
        <top style="medium">
          <color theme="6" tint="0.39997558519241921"/>
        </top>
        <bottom style="medium">
          <color theme="6" tint="0.39997558519241921"/>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style="medium">
          <color theme="6" tint="0.39997558519241921"/>
        </left>
        <right style="medium">
          <color theme="6" tint="0.39997558519241921"/>
        </right>
        <top style="medium">
          <color theme="6" tint="0.39997558519241921"/>
        </top>
        <bottom/>
      </border>
    </dxf>
    <dxf>
      <font>
        <b/>
        <i val="0"/>
        <strike val="0"/>
        <condense val="0"/>
        <extend val="0"/>
        <outline val="0"/>
        <shadow val="0"/>
        <u val="none"/>
        <vertAlign val="baseline"/>
        <sz val="9"/>
        <color theme="1"/>
        <name val="Tahoma"/>
        <family val="2"/>
        <scheme val="none"/>
      </font>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7558519241921"/>
        </left>
        <right/>
        <top style="medium">
          <color theme="6" tint="0.39997558519241921"/>
        </top>
        <bottom/>
      </border>
    </dxf>
    <dxf>
      <font>
        <b/>
        <i val="0"/>
        <strike val="0"/>
        <condense val="0"/>
        <extend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left/>
        <right style="medium">
          <color theme="6" tint="0.39997558519241921"/>
        </right>
        <top style="medium">
          <color theme="6" tint="0.39997558519241921"/>
        </top>
        <bottom/>
      </border>
    </dxf>
    <dxf>
      <font>
        <b/>
        <i val="0"/>
        <strike val="0"/>
        <condense val="0"/>
        <extend val="0"/>
        <outline val="0"/>
        <shadow val="0"/>
        <u val="none"/>
        <vertAlign val="baseline"/>
        <sz val="10"/>
        <color theme="0"/>
        <name val="Tahoma"/>
        <family val="2"/>
        <scheme val="none"/>
      </font>
      <fill>
        <patternFill patternType="solid">
          <fgColor indexed="64"/>
          <bgColor theme="3"/>
        </patternFill>
      </fill>
      <alignment horizontal="left" vertical="center" textRotation="0" wrapText="0" indent="1" justifyLastLine="0" shrinkToFit="0" readingOrder="0"/>
      <border diagonalUp="0" diagonalDown="0" outline="0">
        <left style="medium">
          <color theme="6" tint="0.39997558519241921"/>
        </left>
        <right/>
        <top style="medium">
          <color theme="6" tint="0.39997558519241921"/>
        </top>
        <bottom/>
      </border>
    </dxf>
    <dxf>
      <font>
        <b/>
        <i val="0"/>
        <strike val="0"/>
        <condense val="0"/>
        <extend val="0"/>
        <outline val="0"/>
        <shadow val="0"/>
        <u val="none"/>
        <vertAlign val="baseline"/>
        <sz val="10"/>
        <color theme="0"/>
        <name val="Tahoma"/>
        <family val="2"/>
        <scheme val="none"/>
      </font>
      <numFmt numFmtId="0" formatCode="General"/>
      <fill>
        <patternFill patternType="solid">
          <fgColor indexed="64"/>
          <bgColor theme="3"/>
        </patternFill>
      </fill>
      <alignment horizontal="left" vertical="center" textRotation="0" wrapText="0" relativeIndent="1" justifyLastLine="0" shrinkToFit="0" readingOrder="0"/>
      <border diagonalUp="0" diagonalDown="0" outline="0">
        <left/>
        <right style="medium">
          <color theme="6" tint="0.39997558519241921"/>
        </right>
        <top style="medium">
          <color theme="6" tint="0.39997558519241921"/>
        </top>
        <bottom/>
      </border>
    </dxf>
    <dxf>
      <border outline="0">
        <top style="medium">
          <color theme="6" tint="0.39997558519241921"/>
        </top>
      </border>
    </dxf>
    <dxf>
      <font>
        <strike val="0"/>
        <outline val="0"/>
        <shadow val="0"/>
        <vertAlign val="baseline"/>
        <name val="Tahoma"/>
        <family val="2"/>
        <scheme val="none"/>
      </font>
    </dxf>
    <dxf>
      <border outline="0">
        <left style="medium">
          <color theme="6" tint="0.39997558519241921"/>
        </left>
        <bottom style="medium">
          <color theme="6" tint="0.39997558519241921"/>
        </bottom>
      </border>
    </dxf>
    <dxf>
      <font>
        <b/>
        <i val="0"/>
        <strike val="0"/>
        <condense val="0"/>
        <extend val="0"/>
        <outline val="0"/>
        <shadow val="0"/>
        <u val="none"/>
        <vertAlign val="baseline"/>
        <sz val="9"/>
        <color theme="1"/>
        <name val="Tahoma"/>
        <family val="2"/>
        <scheme val="none"/>
      </font>
      <numFmt numFmtId="0" formatCode="General"/>
      <fill>
        <patternFill patternType="solid">
          <fgColor indexed="64"/>
          <bgColor theme="6" tint="0.79998168889431442"/>
        </patternFill>
      </fill>
      <alignment horizontal="right" vertical="center" textRotation="0" wrapText="0" indent="0" justifyLastLine="0" shrinkToFit="0" readingOrder="0"/>
    </dxf>
    <dxf>
      <border outline="0">
        <bottom style="medium">
          <color theme="6" tint="0.39997558519241921"/>
        </bottom>
      </border>
    </dxf>
    <dxf>
      <font>
        <b/>
        <i val="0"/>
        <strike val="0"/>
        <condense val="0"/>
        <extend val="0"/>
        <outline val="0"/>
        <shadow val="0"/>
        <u val="none"/>
        <vertAlign val="baseline"/>
        <sz val="10"/>
        <color theme="0"/>
        <name val="Tahoma"/>
        <family val="2"/>
        <scheme val="none"/>
      </font>
      <numFmt numFmtId="0" formatCode="General"/>
      <fill>
        <patternFill patternType="solid">
          <fgColor indexed="64"/>
          <bgColor theme="3" tint="-0.499984740745262"/>
        </patternFill>
      </fill>
      <alignment horizontal="general" vertical="center" textRotation="0" wrapText="0" indent="0" justifyLastLine="0" shrinkToFit="0" readingOrder="0"/>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top/>
        <bottom/>
      </border>
    </dxf>
    <dxf>
      <font>
        <strike val="0"/>
        <outline val="0"/>
        <shadow val="0"/>
        <u val="none"/>
        <vertAlign val="baseline"/>
        <sz val="9"/>
        <color theme="1"/>
        <name val="Tahoma"/>
        <family val="2"/>
        <scheme val="none"/>
      </font>
      <numFmt numFmtId="12" formatCode="&quot;₪&quot;\ #,##0.00;[Red]&quot;₪&quot;\ \-#,##0.00"/>
      <alignment horizontal="left" vertical="center" textRotation="0" wrapText="0" indent="0" justifyLastLine="0" shrinkToFit="0" readingOrder="1"/>
      <border diagonalUp="0" diagonalDown="0" outline="0">
        <left style="medium">
          <color theme="6" tint="0.39994506668294322"/>
        </left>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right style="medium">
          <color theme="6" tint="0.39994506668294322"/>
        </right>
        <top style="medium">
          <color theme="6" tint="0.39994506668294322"/>
        </top>
        <bottom style="medium">
          <color theme="6" tint="0.39994506668294322"/>
        </bottom>
      </border>
    </dxf>
    <dxf>
      <font>
        <b/>
        <i val="0"/>
        <strike val="0"/>
        <outline val="0"/>
        <shadow val="0"/>
        <u val="none"/>
        <vertAlign val="baseline"/>
        <sz val="10"/>
        <color theme="1"/>
        <name val="Tahoma"/>
        <family val="2"/>
        <scheme val="none"/>
      </font>
      <fill>
        <patternFill patternType="solid">
          <fgColor indexed="64"/>
          <bgColor theme="6" tint="0.79998168889431442"/>
        </patternFill>
      </fill>
      <alignment horizontal="right" vertical="center" textRotation="0" wrapText="0" indent="1" justifyLastLine="0" shrinkToFit="0" readingOrder="2"/>
      <border diagonalUp="0" diagonalDown="0" outline="0">
        <left/>
        <right style="medium">
          <color theme="6" tint="0.39991454817346722"/>
        </right>
        <top style="medium">
          <color theme="6" tint="0.39994506668294322"/>
        </top>
        <bottom/>
      </border>
    </dxf>
    <dxf>
      <font>
        <b/>
        <strike val="0"/>
        <outline val="0"/>
        <shadow val="0"/>
        <u val="none"/>
        <vertAlign val="baseline"/>
        <sz val="10"/>
        <color theme="0"/>
        <name val="Tahoma"/>
        <family val="2"/>
        <scheme val="none"/>
      </font>
      <fill>
        <patternFill patternType="solid">
          <fgColor indexed="64"/>
          <bgColor theme="3"/>
        </patternFill>
      </fill>
      <alignment horizontal="left" vertical="center" textRotation="0" wrapTex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dxf>
    <dxf>
      <border>
        <bottom style="medium">
          <color theme="6" tint="0.39994506668294322"/>
        </bottom>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top/>
        <bottom/>
      </border>
    </dxf>
    <dxf>
      <font>
        <strike val="0"/>
        <outline val="0"/>
        <shadow val="0"/>
        <vertAlign val="baseline"/>
        <name val="Tahoma"/>
        <family val="2"/>
        <scheme val="none"/>
      </font>
      <numFmt numFmtId="12" formatCode="&quot;₪&quot;\ #,##0.00;[Red]&quot;₪&quot;\ \-#,##0.00"/>
      <alignment horizontal="left" vertical="center" textRotation="0" wrapText="0" indent="0" justifyLastLine="0" shrinkToFit="0" readingOrder="1"/>
      <border diagonalUp="0" diagonalDown="0" outline="0">
        <left style="medium">
          <color theme="6" tint="0.39994506668294322"/>
        </left>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right style="medium">
          <color theme="6" tint="0.39994506668294322"/>
        </right>
        <top style="medium">
          <color theme="6" tint="0.39994506668294322"/>
        </top>
        <bottom style="medium">
          <color theme="6" tint="0.39994506668294322"/>
        </bottom>
      </border>
    </dxf>
    <dxf>
      <font>
        <b/>
        <i val="0"/>
        <strike val="0"/>
        <outline val="0"/>
        <shadow val="0"/>
        <u val="none"/>
        <vertAlign val="baseline"/>
        <sz val="10"/>
        <color theme="1"/>
        <name val="Tahoma"/>
        <family val="2"/>
        <scheme val="none"/>
      </font>
      <fill>
        <patternFill patternType="solid">
          <fgColor indexed="64"/>
          <bgColor theme="6" tint="0.79998168889431442"/>
        </patternFill>
      </fill>
      <alignment horizontal="right" vertical="center" textRotation="0" wrapText="0" indent="2" justifyLastLine="0" shrinkToFit="0" readingOrder="2"/>
      <border diagonalUp="0" diagonalDown="0" outline="0">
        <left/>
        <right style="medium">
          <color theme="6" tint="0.39991454817346722"/>
        </right>
        <top style="medium">
          <color theme="6" tint="0.39994506668294322"/>
        </top>
        <bottom/>
      </border>
    </dxf>
    <dxf>
      <font>
        <b/>
        <strike val="0"/>
        <outline val="0"/>
        <shadow val="0"/>
        <u val="none"/>
        <vertAlign val="baseline"/>
        <sz val="10"/>
        <color theme="0"/>
        <name val="Tahoma"/>
        <family val="2"/>
        <scheme val="none"/>
      </font>
      <fill>
        <patternFill patternType="solid">
          <fgColor indexed="64"/>
          <bgColor theme="3"/>
        </patternFill>
      </fill>
      <alignment horizontal="left" vertical="center" textRotation="0" wrapTex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dxf>
    <dxf>
      <border>
        <bottom style="medium">
          <color theme="6" tint="0.39994506668294322"/>
        </bottom>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4506668294322"/>
        </left>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vertAlign val="baseline"/>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right style="medium">
          <color theme="6" tint="0.39994506668294322"/>
        </right>
        <top style="medium">
          <color theme="6" tint="0.39994506668294322"/>
        </top>
        <bottom style="medium">
          <color theme="6" tint="0.39994506668294322"/>
        </bottom>
      </border>
    </dxf>
    <dxf>
      <font>
        <b/>
        <i val="0"/>
        <strike val="0"/>
        <outline val="0"/>
        <shadow val="0"/>
        <u val="none"/>
        <vertAlign val="baseline"/>
        <sz val="10"/>
        <color theme="1"/>
        <name val="Tahoma"/>
        <family val="2"/>
        <scheme val="none"/>
      </font>
      <fill>
        <patternFill patternType="solid">
          <fgColor indexed="64"/>
          <bgColor theme="6" tint="0.79998168889431442"/>
        </patternFill>
      </fill>
      <alignment horizontal="right" vertical="center" textRotation="0" wrapText="0" indent="2" justifyLastLine="0" shrinkToFit="0" readingOrder="2"/>
      <border diagonalUp="0" diagonalDown="0" outline="0">
        <left/>
        <right style="medium">
          <color theme="6" tint="0.39991454817346722"/>
        </right>
        <top style="medium">
          <color theme="6" tint="0.39994506668294322"/>
        </top>
        <bottom/>
      </border>
    </dxf>
    <dxf>
      <font>
        <b/>
        <strike val="0"/>
        <outline val="0"/>
        <shadow val="0"/>
        <u val="none"/>
        <vertAlign val="baseline"/>
        <sz val="10"/>
        <color theme="0"/>
        <name val="Tahoma"/>
        <family val="2"/>
        <scheme val="none"/>
      </font>
      <fill>
        <patternFill patternType="solid">
          <fgColor indexed="64"/>
          <bgColor theme="3"/>
        </patternFill>
      </fill>
      <alignment horizontal="left" vertical="center" textRotation="0" wrapText="0" relativeIndent="-1" justifyLastLine="0" shrinkToFit="0" readingOrder="0"/>
      <border diagonalUp="0" diagonalDown="0" outline="0">
        <left/>
        <right/>
        <top style="medium">
          <color theme="6" tint="0.39994506668294322"/>
        </top>
        <bottom style="medium">
          <color theme="6" tint="0.39994506668294322"/>
        </bottom>
      </border>
    </dxf>
    <dxf>
      <border>
        <top style="medium">
          <color theme="6" tint="0.39994506668294322"/>
        </top>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border diagonalUp="0" diagonalDown="0">
        <left style="medium">
          <color theme="6" tint="0.39994506668294322"/>
        </left>
        <right style="medium">
          <color theme="6" tint="0.39994506668294322"/>
        </right>
        <top style="medium">
          <color theme="6" tint="0.39994506668294322"/>
        </top>
        <bottom style="medium">
          <color theme="6" tint="0.39994506668294322"/>
        </bottom>
      </border>
    </dxf>
    <dxf>
      <font>
        <strike val="0"/>
        <outline val="0"/>
        <shadow val="0"/>
        <vertAlign val="baseline"/>
        <name val="Tahoma"/>
        <family val="2"/>
        <scheme val="none"/>
      </font>
    </dxf>
    <dxf>
      <border>
        <bottom style="medium">
          <color theme="6" tint="0.39994506668294322"/>
        </bottom>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6" tint="0.79998168889431442"/>
        </patternFill>
      </fill>
      <alignment horizontal="left" vertical="center" textRotation="0" wrapText="0" indent="0" justifyLastLine="0" shrinkToFit="0" readingOrder="1"/>
      <border diagonalUp="0" diagonalDown="0" outline="0">
        <left style="medium">
          <color theme="6" tint="0.39994506668294322"/>
        </left>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style="medium">
          <color theme="6" tint="0.39994506668294322"/>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style="medium">
          <color theme="6" tint="0.39994506668294322"/>
        </left>
        <right style="medium">
          <color theme="6" tint="0.39994506668294322"/>
        </right>
        <top style="medium">
          <color theme="6" tint="0.39994506668294322"/>
        </top>
        <bottom style="medium">
          <color theme="6" tint="0.39994506668294322"/>
        </bottom>
      </border>
    </dxf>
    <dxf>
      <font>
        <b val="0"/>
        <i val="0"/>
        <strike val="0"/>
        <condense val="0"/>
        <extend val="0"/>
        <outline val="0"/>
        <shadow val="0"/>
        <u val="none"/>
        <vertAlign val="baseline"/>
        <sz val="9"/>
        <color theme="1"/>
        <name val="Tahoma"/>
        <family val="2"/>
        <scheme val="none"/>
      </font>
      <numFmt numFmtId="166" formatCode="&quot;₪&quot;\ #,##0.00;[Red]&quot;₪&quot;\ #,##0.00"/>
      <fill>
        <patternFill patternType="solid">
          <fgColor indexed="64"/>
          <bgColor theme="6" tint="0.79998168889431442"/>
        </patternFill>
      </fill>
      <alignment horizontal="left" vertical="center" textRotation="0" wrapText="0" indent="0" justifyLastLine="0" shrinkToFit="0" readingOrder="2"/>
      <border diagonalUp="0" diagonalDown="0" outline="0">
        <left/>
        <right style="medium">
          <color theme="6" tint="0.39994506668294322"/>
        </right>
        <top/>
        <bottom/>
      </border>
    </dxf>
    <dxf>
      <font>
        <strike val="0"/>
        <outline val="0"/>
        <shadow val="0"/>
        <u val="none"/>
        <vertAlign val="baseline"/>
        <sz val="9"/>
        <color theme="1"/>
        <name val="Tahoma"/>
        <family val="2"/>
        <scheme val="none"/>
      </font>
      <numFmt numFmtId="12" formatCode="&quot;₪&quot;\ #,##0.00;[Red]&quot;₪&quot;\ \-#,##0.00"/>
      <fill>
        <patternFill patternType="solid">
          <fgColor indexed="64"/>
          <bgColor theme="0"/>
        </patternFill>
      </fill>
      <alignment horizontal="left" vertical="center" textRotation="0" wrapText="0" indent="0" justifyLastLine="0" shrinkToFit="0" readingOrder="1"/>
      <border diagonalUp="0" diagonalDown="0" outline="0">
        <left/>
        <right style="medium">
          <color theme="6" tint="0.39994506668294322"/>
        </right>
        <top style="medium">
          <color theme="6" tint="0.39994506668294322"/>
        </top>
        <bottom style="medium">
          <color theme="6" tint="0.39994506668294322"/>
        </bottom>
      </border>
    </dxf>
    <dxf>
      <font>
        <b/>
        <i val="0"/>
        <strike val="0"/>
        <condense val="0"/>
        <extend val="0"/>
        <outline val="0"/>
        <shadow val="0"/>
        <u val="none"/>
        <vertAlign val="baseline"/>
        <sz val="10"/>
        <color theme="1"/>
        <name val="Tahoma"/>
        <family val="2"/>
        <scheme val="none"/>
      </font>
      <fill>
        <patternFill patternType="solid">
          <fgColor indexed="64"/>
          <bgColor theme="6" tint="0.79998168889431442"/>
        </patternFill>
      </fill>
      <alignment horizontal="right" vertical="center" textRotation="0" wrapText="0" indent="2" justifyLastLine="0" shrinkToFit="0" readingOrder="2"/>
      <border diagonalUp="0" diagonalDown="0" outline="0">
        <left style="medium">
          <color theme="6" tint="0.39988402966399123"/>
        </left>
        <right style="medium">
          <color theme="6" tint="0.39985351115451523"/>
        </right>
        <top style="medium">
          <color theme="6" tint="0.39994506668294322"/>
        </top>
        <bottom style="medium">
          <color theme="6" tint="0.39985351115451523"/>
        </bottom>
      </border>
    </dxf>
    <dxf>
      <font>
        <b/>
        <strike val="0"/>
        <outline val="0"/>
        <shadow val="0"/>
        <u val="none"/>
        <vertAlign val="baseline"/>
        <sz val="10"/>
        <color theme="0"/>
        <name val="Tahoma"/>
        <family val="2"/>
        <scheme val="none"/>
      </font>
      <fill>
        <patternFill patternType="solid">
          <fgColor indexed="64"/>
          <bgColor theme="3"/>
        </patternFill>
      </fill>
      <alignment horizontal="left" vertical="center" textRotation="0" wrapText="0" relativeIndent="-1" justifyLastLine="0" shrinkToFit="0" readingOrder="0"/>
      <border diagonalUp="0" diagonalDown="0" outline="0">
        <left style="medium">
          <color theme="6" tint="0.39988402966399123"/>
        </left>
        <right/>
        <top style="medium">
          <color theme="6" tint="0.39994506668294322"/>
        </top>
        <bottom style="medium">
          <color theme="6" tint="0.39994506668294322"/>
        </bottom>
      </border>
    </dxf>
    <dxf>
      <border>
        <top style="medium">
          <color theme="6" tint="0.39994506668294322"/>
        </top>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border diagonalUp="0" diagonalDown="0">
        <left/>
        <right style="medium">
          <color theme="6" tint="0.39994506668294322"/>
        </right>
        <top/>
        <bottom/>
      </border>
    </dxf>
    <dxf>
      <font>
        <strike val="0"/>
        <outline val="0"/>
        <shadow val="0"/>
        <vertAlign val="baseline"/>
        <name val="Tahoma"/>
        <family val="2"/>
        <scheme val="none"/>
      </font>
    </dxf>
    <dxf>
      <border>
        <bottom style="medium">
          <color theme="6" tint="0.39994506668294322"/>
        </bottom>
      </border>
    </dxf>
    <dxf>
      <font>
        <strike val="0"/>
        <outline val="0"/>
        <shadow val="0"/>
        <vertAlign val="baseline"/>
        <name val="Tahoma"/>
        <family val="2"/>
        <scheme val="none"/>
      </font>
      <border diagonalUp="0" diagonalDown="0" outline="0">
        <left style="medium">
          <color theme="6" tint="0.39994506668294322"/>
        </left>
        <right style="medium">
          <color theme="6" tint="0.39994506668294322"/>
        </right>
        <top/>
        <bottom/>
      </border>
    </dxf>
    <dxf>
      <font>
        <color auto="1"/>
      </font>
      <fill>
        <patternFill patternType="none">
          <bgColor auto="1"/>
        </patternFill>
      </fill>
      <border diagonalUp="0" diagonalDown="0">
        <left/>
        <right/>
        <top/>
        <bottom/>
        <vertical/>
        <horizontal style="medium">
          <color theme="6" tint="0.39994506668294322"/>
        </horizontal>
      </border>
    </dxf>
    <dxf>
      <font>
        <color theme="1"/>
      </font>
      <fill>
        <patternFill patternType="solid">
          <fgColor theme="0" tint="-0.14993743705557422"/>
          <bgColor theme="0"/>
        </patternFill>
      </fill>
      <border diagonalUp="0" diagonalDown="0">
        <left/>
        <right/>
        <top/>
        <bottom/>
        <vertical/>
        <horizontal style="medium">
          <color theme="6" tint="0.39994506668294322"/>
        </horizontal>
      </border>
    </dxf>
    <dxf>
      <font>
        <b val="0"/>
        <i val="0"/>
        <color theme="1"/>
      </font>
      <fill>
        <patternFill>
          <bgColor theme="6" tint="0.79998168889431442"/>
        </patternFill>
      </fill>
      <border diagonalUp="0" diagonalDown="0">
        <left/>
        <right/>
        <top/>
        <bottom/>
        <vertical/>
        <horizontal style="medium">
          <color theme="6" tint="0.39994506668294322"/>
        </horizontal>
      </border>
    </dxf>
    <dxf>
      <font>
        <color theme="0"/>
      </font>
      <fill>
        <patternFill>
          <fgColor theme="3"/>
          <bgColor theme="3"/>
        </patternFill>
      </fill>
      <border diagonalUp="0" diagonalDown="0">
        <left/>
        <right/>
        <top/>
        <bottom/>
        <vertical/>
        <horizontal style="medium">
          <color theme="6" tint="0.39994506668294322"/>
        </horizontal>
      </border>
    </dxf>
    <dxf>
      <font>
        <b/>
        <i val="0"/>
        <color theme="1"/>
      </font>
      <fill>
        <patternFill>
          <bgColor theme="6" tint="0.79998168889431442"/>
        </patternFill>
      </fill>
      <border diagonalUp="0" diagonalDown="0">
        <left/>
        <right/>
        <top style="medium">
          <color theme="6" tint="0.39994506668294322"/>
        </top>
        <bottom/>
        <vertical style="medium">
          <color theme="6" tint="0.39991454817346722"/>
        </vertical>
        <horizontal/>
      </border>
    </dxf>
    <dxf>
      <font>
        <color theme="6" tint="0.39994506668294322"/>
      </font>
      <fill>
        <patternFill>
          <bgColor theme="6" tint="0.39994506668294322"/>
        </patternFill>
      </fill>
      <border diagonalUp="0" diagonalDown="0">
        <left/>
        <right/>
        <top/>
        <bottom style="medium">
          <color theme="6" tint="0.39994506668294322"/>
        </bottom>
        <vertical/>
        <horizontal/>
      </border>
    </dxf>
    <dxf>
      <font>
        <b val="0"/>
        <i val="0"/>
        <color theme="1"/>
      </font>
      <fill>
        <patternFill>
          <bgColor theme="0"/>
        </patternFill>
      </fill>
      <border diagonalUp="0" diagonalDown="0">
        <left/>
        <right/>
        <top style="medium">
          <color theme="6" tint="0.39994506668294322"/>
        </top>
        <bottom style="medium">
          <color theme="6" tint="0.39994506668294322"/>
        </bottom>
        <vertical style="medium">
          <color theme="6" tint="0.39994506668294322"/>
        </vertical>
        <horizontal style="medium">
          <color theme="6" tint="0.39994506668294322"/>
        </horizontal>
      </border>
    </dxf>
  </dxfs>
  <tableStyles count="1" defaultPivotStyle="PivotStyleLight16">
    <tableStyle name="פירוט ההוצאות המשוערות בטבלה 2" pivot="0" count="7" xr9:uid="{00000000-0011-0000-FFFF-FFFF00000000}">
      <tableStyleElement type="wholeTable" dxfId="531"/>
      <tableStyleElement type="headerRow" dxfId="530"/>
      <tableStyleElement type="totalRow" dxfId="529"/>
      <tableStyleElement type="firstColumn" dxfId="528"/>
      <tableStyleElement type="lastColumn" dxfId="527"/>
      <tableStyleElement type="firstRowStripe" size="9" dxfId="526"/>
      <tableStyleElement type="firstColumnStripe" dxfId="525"/>
    </tableStyle>
  </tableStyles>
  <colors>
    <mruColors>
      <color rgb="FF3B893D"/>
      <color rgb="FF99CCFF"/>
      <color rgb="FFFFCC99"/>
      <color rgb="FF800080"/>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a:t>הוצאות חודשיות</a:t>
            </a:r>
          </a:p>
        </c:rich>
      </c:tx>
      <c:layout>
        <c:manualLayout>
          <c:xMode val="edge"/>
          <c:yMode val="edge"/>
          <c:x val="0.80126183777851046"/>
          <c:y val="8.903231126127000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barChart>
        <c:barDir val="col"/>
        <c:grouping val="clustered"/>
        <c:varyColors val="0"/>
        <c:ser>
          <c:idx val="1"/>
          <c:order val="1"/>
          <c:tx>
            <c:v>מתוכננות</c:v>
          </c:tx>
          <c:spPr>
            <a:solidFill>
              <a:schemeClr val="accent2"/>
            </a:solidFill>
            <a:ln>
              <a:noFill/>
            </a:ln>
            <a:effectLst/>
          </c:spPr>
          <c:invertIfNegative val="0"/>
          <c:val>
            <c:numRef>
              <c:f>'הוצאות מתוכננות'!$C$36:$N$36</c:f>
              <c:numCache>
                <c:formatCode>"₪"#,##0.00_);[Red]\("₪"#,##0.00\)</c:formatCode>
                <c:ptCount val="12"/>
                <c:pt idx="0">
                  <c:v>131420</c:v>
                </c:pt>
                <c:pt idx="1">
                  <c:v>126820</c:v>
                </c:pt>
                <c:pt idx="2">
                  <c:v>126820</c:v>
                </c:pt>
                <c:pt idx="3">
                  <c:v>137695</c:v>
                </c:pt>
                <c:pt idx="4">
                  <c:v>129695</c:v>
                </c:pt>
                <c:pt idx="5">
                  <c:v>130495</c:v>
                </c:pt>
                <c:pt idx="6">
                  <c:v>134695</c:v>
                </c:pt>
                <c:pt idx="7">
                  <c:v>138918</c:v>
                </c:pt>
                <c:pt idx="8">
                  <c:v>135918</c:v>
                </c:pt>
                <c:pt idx="9">
                  <c:v>140918</c:v>
                </c:pt>
                <c:pt idx="10">
                  <c:v>136218</c:v>
                </c:pt>
                <c:pt idx="11">
                  <c:v>140018</c:v>
                </c:pt>
              </c:numCache>
            </c:numRef>
          </c:val>
          <c:extLst>
            <c:ext xmlns:c16="http://schemas.microsoft.com/office/drawing/2014/chart" uri="{C3380CC4-5D6E-409C-BE32-E72D297353CC}">
              <c16:uniqueId val="{00000000-135D-4DB7-A511-401DE3785DC9}"/>
            </c:ext>
          </c:extLst>
        </c:ser>
        <c:ser>
          <c:idx val="2"/>
          <c:order val="2"/>
          <c:tx>
            <c:v>בפועל</c:v>
          </c:tx>
          <c:spPr>
            <a:solidFill>
              <a:schemeClr val="accent4">
                <a:alpha val="25000"/>
              </a:schemeClr>
            </a:solidFill>
            <a:ln>
              <a:noFill/>
            </a:ln>
            <a:effectLst/>
          </c:spPr>
          <c:invertIfNegative val="0"/>
          <c:val>
            <c:numRef>
              <c:f>'הוצאות בפועל'!$C$36:$N$36</c:f>
              <c:numCache>
                <c:formatCode>"₪"#,##0.00_);[Red]\("₪"#,##0.00\)</c:formatCode>
                <c:ptCount val="12"/>
                <c:pt idx="0">
                  <c:v>129682</c:v>
                </c:pt>
                <c:pt idx="1">
                  <c:v>127804</c:v>
                </c:pt>
                <c:pt idx="2">
                  <c:v>125565</c:v>
                </c:pt>
                <c:pt idx="3">
                  <c:v>137394</c:v>
                </c:pt>
                <c:pt idx="4">
                  <c:v>128255</c:v>
                </c:pt>
                <c:pt idx="5">
                  <c:v>134239</c:v>
                </c:pt>
                <c:pt idx="6">
                  <c:v>0</c:v>
                </c:pt>
                <c:pt idx="7">
                  <c:v>0</c:v>
                </c:pt>
                <c:pt idx="8">
                  <c:v>0</c:v>
                </c:pt>
                <c:pt idx="9">
                  <c:v>0</c:v>
                </c:pt>
                <c:pt idx="10">
                  <c:v>0</c:v>
                </c:pt>
                <c:pt idx="11">
                  <c:v>0</c:v>
                </c:pt>
              </c:numCache>
            </c:numRef>
          </c:val>
          <c:extLst>
            <c:ext xmlns:c16="http://schemas.microsoft.com/office/drawing/2014/chart" uri="{C3380CC4-5D6E-409C-BE32-E72D297353CC}">
              <c16:uniqueId val="{00000001-135D-4DB7-A511-401DE3785DC9}"/>
            </c:ext>
          </c:extLst>
        </c:ser>
        <c:dLbls>
          <c:showLegendKey val="0"/>
          <c:showVal val="0"/>
          <c:showCatName val="0"/>
          <c:showSerName val="0"/>
          <c:showPercent val="0"/>
          <c:showBubbleSize val="0"/>
        </c:dLbls>
        <c:gapWidth val="100"/>
        <c:axId val="362146616"/>
        <c:axId val="362147008"/>
      </c:barChart>
      <c:lineChart>
        <c:grouping val="standard"/>
        <c:varyColors val="0"/>
        <c:ser>
          <c:idx val="0"/>
          <c:order val="0"/>
          <c:tx>
            <c:v>שונות</c:v>
          </c:tx>
          <c:spPr>
            <a:ln w="28575" cap="rnd">
              <a:solidFill>
                <a:schemeClr val="accent3">
                  <a:shade val="65000"/>
                </a:schemeClr>
              </a:solidFill>
              <a:round/>
            </a:ln>
            <a:effectLst/>
          </c:spPr>
          <c:marker>
            <c:symbol val="none"/>
          </c:marker>
          <c:val>
            <c:numRef>
              <c:f>'שונות הוצאות'!$C$36:$N$36</c:f>
              <c:numCache>
                <c:formatCode>"₪"#,##0.00_);[Red]\("₪"#,##0.00\)</c:formatCode>
                <c:ptCount val="12"/>
                <c:pt idx="0">
                  <c:v>1738</c:v>
                </c:pt>
                <c:pt idx="1">
                  <c:v>-984</c:v>
                </c:pt>
                <c:pt idx="2">
                  <c:v>1255</c:v>
                </c:pt>
                <c:pt idx="3">
                  <c:v>301</c:v>
                </c:pt>
                <c:pt idx="4">
                  <c:v>1440</c:v>
                </c:pt>
                <c:pt idx="5">
                  <c:v>-3744</c:v>
                </c:pt>
                <c:pt idx="6">
                  <c:v>134695</c:v>
                </c:pt>
                <c:pt idx="7">
                  <c:v>138918</c:v>
                </c:pt>
                <c:pt idx="8">
                  <c:v>135918</c:v>
                </c:pt>
                <c:pt idx="9">
                  <c:v>140918</c:v>
                </c:pt>
                <c:pt idx="10">
                  <c:v>136218</c:v>
                </c:pt>
                <c:pt idx="11">
                  <c:v>140018</c:v>
                </c:pt>
              </c:numCache>
            </c:numRef>
          </c:val>
          <c:smooth val="0"/>
          <c:extLst>
            <c:ext xmlns:c16="http://schemas.microsoft.com/office/drawing/2014/chart" uri="{C3380CC4-5D6E-409C-BE32-E72D297353CC}">
              <c16:uniqueId val="{00000002-135D-4DB7-A511-401DE3785DC9}"/>
            </c:ext>
          </c:extLst>
        </c:ser>
        <c:dLbls>
          <c:showLegendKey val="0"/>
          <c:showVal val="0"/>
          <c:showCatName val="0"/>
          <c:showSerName val="0"/>
          <c:showPercent val="0"/>
          <c:showBubbleSize val="0"/>
        </c:dLbls>
        <c:marker val="1"/>
        <c:smooth val="0"/>
        <c:axId val="362146616"/>
        <c:axId val="362147008"/>
      </c:lineChart>
      <c:catAx>
        <c:axId val="362146616"/>
        <c:scaling>
          <c:orientation val="maxMin"/>
        </c:scaling>
        <c:delete val="0"/>
        <c:axPos val="b"/>
        <c:title>
          <c:tx>
            <c:rich>
              <a:bodyPr rot="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a:t>חודש</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en-US"/>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en-US"/>
          </a:p>
        </c:txPr>
        <c:crossAx val="362147008"/>
        <c:crosses val="autoZero"/>
        <c:auto val="1"/>
        <c:lblAlgn val="ctr"/>
        <c:lblOffset val="100"/>
        <c:noMultiLvlLbl val="0"/>
      </c:catAx>
      <c:valAx>
        <c:axId val="362147008"/>
        <c:scaling>
          <c:orientation val="minMax"/>
        </c:scaling>
        <c:delete val="0"/>
        <c:axPos val="r"/>
        <c:majorGridlines>
          <c:spPr>
            <a:ln w="3175" cap="flat" cmpd="sng" algn="ctr">
              <a:solidFill>
                <a:schemeClr val="bg1">
                  <a:lumMod val="75000"/>
                  <a:alpha val="2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r>
                  <a:rPr lang="en-US"/>
                  <a:t>הוצאות</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quot;₪&quot;\ #,##0_);[Red]\(&quot;₪&quot;\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en-US"/>
          </a:p>
        </c:txPr>
        <c:crossAx val="362146616"/>
        <c:crosses val="autoZero"/>
        <c:crossBetween val="between"/>
        <c:dispUnits>
          <c:builtInUnit val="tenThousands"/>
          <c:dispUnitsLbl>
            <c:layout>
              <c:manualLayout>
                <c:xMode val="edge"/>
                <c:yMode val="edge"/>
                <c:x val="0.92853449603491367"/>
                <c:y val="0.11317100328988393"/>
              </c:manualLayout>
            </c:layout>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en-US"/>
              </a:p>
            </c:txPr>
          </c:dispUnitsLbl>
        </c:dispUnits>
      </c:valAx>
      <c:spPr>
        <a:noFill/>
        <a:ln>
          <a:noFill/>
        </a:ln>
        <a:effectLst/>
      </c:spPr>
    </c:plotArea>
    <c:legend>
      <c:legendPos val="t"/>
      <c:layout>
        <c:manualLayout>
          <c:xMode val="edge"/>
          <c:yMode val="edge"/>
          <c:x val="0.65443596754181987"/>
          <c:y val="5.3074323107069506E-2"/>
          <c:w val="0.33878368215294763"/>
          <c:h val="3.579789723106797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accent3">
        <a:lumMod val="20000"/>
        <a:lumOff val="80000"/>
      </a:schemeClr>
    </a:solidFill>
    <a:ln w="9525" cap="flat" cmpd="sng" algn="ctr">
      <a:solidFill>
        <a:schemeClr val="tx1">
          <a:lumMod val="15000"/>
          <a:lumOff val="85000"/>
        </a:schemeClr>
      </a:solidFill>
      <a:round/>
    </a:ln>
    <a:effectLst/>
  </c:spPr>
  <c:txPr>
    <a:bodyPr/>
    <a:lstStyle/>
    <a:p>
      <a:pPr>
        <a:defRPr>
          <a:solidFill>
            <a:schemeClr val="tx1"/>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47698573031214"/>
          <c:y val="0.17330539881195353"/>
          <c:w val="0.7828463396635198"/>
          <c:h val="0.71853463513379401"/>
        </c:manualLayout>
      </c:layout>
      <c:barChart>
        <c:barDir val="bar"/>
        <c:grouping val="clustered"/>
        <c:varyColors val="0"/>
        <c:ser>
          <c:idx val="1"/>
          <c:order val="0"/>
          <c:tx>
            <c:strRef>
              <c:f>'ניתוח הוצאות'!$C$5</c:f>
              <c:strCache>
                <c:ptCount val="1"/>
                <c:pt idx="0">
                  <c:v>הוצאות מתוכננות</c:v>
                </c:pt>
              </c:strCache>
            </c:strRef>
          </c:tx>
          <c:spPr>
            <a:solidFill>
              <a:schemeClr val="accent2"/>
            </a:solidFill>
            <a:ln w="19050">
              <a:noFill/>
            </a:ln>
            <a:effectLst/>
          </c:spPr>
          <c:invertIfNegative val="0"/>
          <c:cat>
            <c:strRef>
              <c:f>'ניתוח הוצאות'!$B$6:$B$9</c:f>
              <c:strCache>
                <c:ptCount val="4"/>
                <c:pt idx="0">
                  <c:v>עלויות עובדים</c:v>
                </c:pt>
                <c:pt idx="1">
                  <c:v>עלויות משרדיות</c:v>
                </c:pt>
                <c:pt idx="2">
                  <c:v>עלויות שיווק</c:v>
                </c:pt>
                <c:pt idx="3">
                  <c:v>הדרכה/נסיעה</c:v>
                </c:pt>
              </c:strCache>
            </c:strRef>
          </c:cat>
          <c:val>
            <c:numRef>
              <c:f>'ניתוח הוצאות'!$C$6:$C$9</c:f>
              <c:numCache>
                <c:formatCode>"₪"#,##0.00_);[Red]\("₪"#,##0.00\)</c:formatCode>
                <c:ptCount val="4"/>
                <c:pt idx="0">
                  <c:v>1355090</c:v>
                </c:pt>
                <c:pt idx="1">
                  <c:v>138740</c:v>
                </c:pt>
                <c:pt idx="2">
                  <c:v>67800</c:v>
                </c:pt>
                <c:pt idx="3">
                  <c:v>48000</c:v>
                </c:pt>
              </c:numCache>
            </c:numRef>
          </c:val>
          <c:extLst>
            <c:ext xmlns:c16="http://schemas.microsoft.com/office/drawing/2014/chart" uri="{C3380CC4-5D6E-409C-BE32-E72D297353CC}">
              <c16:uniqueId val="{00000009-F485-485F-B818-D5944CB69AAB}"/>
            </c:ext>
          </c:extLst>
        </c:ser>
        <c:ser>
          <c:idx val="0"/>
          <c:order val="1"/>
          <c:tx>
            <c:strRef>
              <c:f>'ניתוח הוצאות'!$D$5</c:f>
              <c:strCache>
                <c:ptCount val="1"/>
                <c:pt idx="0">
                  <c:v>הוצאות בפועל</c:v>
                </c:pt>
              </c:strCache>
            </c:strRef>
          </c:tx>
          <c:spPr>
            <a:solidFill>
              <a:schemeClr val="accent4"/>
            </a:solidFill>
            <a:ln w="19050">
              <a:noFill/>
            </a:ln>
            <a:effectLst/>
          </c:spPr>
          <c:invertIfNegative val="0"/>
          <c:dPt>
            <c:idx val="0"/>
            <c:invertIfNegative val="0"/>
            <c:bubble3D val="0"/>
            <c:spPr>
              <a:solidFill>
                <a:schemeClr val="accent4"/>
              </a:solidFill>
              <a:ln w="19050">
                <a:noFill/>
              </a:ln>
              <a:effectLst/>
            </c:spPr>
            <c:extLst>
              <c:ext xmlns:c16="http://schemas.microsoft.com/office/drawing/2014/chart" uri="{C3380CC4-5D6E-409C-BE32-E72D297353CC}">
                <c16:uniqueId val="{00000001-F485-485F-B818-D5944CB69AAB}"/>
              </c:ext>
            </c:extLst>
          </c:dPt>
          <c:dPt>
            <c:idx val="1"/>
            <c:invertIfNegative val="0"/>
            <c:bubble3D val="0"/>
            <c:spPr>
              <a:solidFill>
                <a:schemeClr val="accent4"/>
              </a:solidFill>
              <a:ln w="19050">
                <a:noFill/>
              </a:ln>
              <a:effectLst/>
            </c:spPr>
            <c:extLst>
              <c:ext xmlns:c16="http://schemas.microsoft.com/office/drawing/2014/chart" uri="{C3380CC4-5D6E-409C-BE32-E72D297353CC}">
                <c16:uniqueId val="{00000003-F485-485F-B818-D5944CB69AAB}"/>
              </c:ext>
            </c:extLst>
          </c:dPt>
          <c:dPt>
            <c:idx val="2"/>
            <c:invertIfNegative val="0"/>
            <c:bubble3D val="0"/>
            <c:spPr>
              <a:solidFill>
                <a:schemeClr val="accent4"/>
              </a:solidFill>
              <a:ln w="19050">
                <a:noFill/>
              </a:ln>
              <a:effectLst/>
            </c:spPr>
            <c:extLst>
              <c:ext xmlns:c16="http://schemas.microsoft.com/office/drawing/2014/chart" uri="{C3380CC4-5D6E-409C-BE32-E72D297353CC}">
                <c16:uniqueId val="{00000005-F485-485F-B818-D5944CB69AAB}"/>
              </c:ext>
            </c:extLst>
          </c:dPt>
          <c:dPt>
            <c:idx val="3"/>
            <c:invertIfNegative val="0"/>
            <c:bubble3D val="0"/>
            <c:spPr>
              <a:solidFill>
                <a:schemeClr val="accent4"/>
              </a:solidFill>
              <a:ln w="19050">
                <a:noFill/>
              </a:ln>
              <a:effectLst/>
            </c:spPr>
            <c:extLst>
              <c:ext xmlns:c16="http://schemas.microsoft.com/office/drawing/2014/chart" uri="{C3380CC4-5D6E-409C-BE32-E72D297353CC}">
                <c16:uniqueId val="{00000007-F485-485F-B818-D5944CB69AAB}"/>
              </c:ext>
            </c:extLst>
          </c:dPt>
          <c:cat>
            <c:strRef>
              <c:f>'ניתוח הוצאות'!$B$6:$B$9</c:f>
              <c:strCache>
                <c:ptCount val="4"/>
                <c:pt idx="0">
                  <c:v>עלויות עובדים</c:v>
                </c:pt>
                <c:pt idx="1">
                  <c:v>עלויות משרדיות</c:v>
                </c:pt>
                <c:pt idx="2">
                  <c:v>עלויות שיווק</c:v>
                </c:pt>
                <c:pt idx="3">
                  <c:v>הדרכה/נסיעה</c:v>
                </c:pt>
              </c:strCache>
            </c:strRef>
          </c:cat>
          <c:val>
            <c:numRef>
              <c:f>'ניתוח הוצאות'!$D$6:$D$9</c:f>
              <c:numCache>
                <c:formatCode>"₪"#,##0.00_);[Red]\("₪"#,##0.00\)</c:formatCode>
                <c:ptCount val="4"/>
                <c:pt idx="0">
                  <c:v>659130</c:v>
                </c:pt>
                <c:pt idx="1">
                  <c:v>69350</c:v>
                </c:pt>
                <c:pt idx="2">
                  <c:v>33159</c:v>
                </c:pt>
                <c:pt idx="3">
                  <c:v>21300</c:v>
                </c:pt>
              </c:numCache>
            </c:numRef>
          </c:val>
          <c:extLst>
            <c:ext xmlns:c16="http://schemas.microsoft.com/office/drawing/2014/chart" uri="{C3380CC4-5D6E-409C-BE32-E72D297353CC}">
              <c16:uniqueId val="{00000008-F485-485F-B818-D5944CB69AAB}"/>
            </c:ext>
          </c:extLst>
        </c:ser>
        <c:dLbls>
          <c:showLegendKey val="0"/>
          <c:showVal val="0"/>
          <c:showCatName val="0"/>
          <c:showSerName val="0"/>
          <c:showPercent val="0"/>
          <c:showBubbleSize val="0"/>
        </c:dLbls>
        <c:gapWidth val="100"/>
        <c:axId val="716845712"/>
        <c:axId val="716855552"/>
      </c:barChart>
      <c:valAx>
        <c:axId val="716855552"/>
        <c:scaling>
          <c:orientation val="maxMin"/>
          <c:max val="1400000"/>
        </c:scaling>
        <c:delete val="0"/>
        <c:axPos val="t"/>
        <c:majorGridlines>
          <c:spPr>
            <a:ln w="9525" cap="flat" cmpd="sng" algn="ctr">
              <a:solidFill>
                <a:schemeClr val="tx1">
                  <a:lumMod val="15000"/>
                  <a:lumOff val="85000"/>
                </a:schemeClr>
              </a:solidFill>
              <a:round/>
            </a:ln>
            <a:effectLst/>
          </c:spPr>
        </c:majorGridlines>
        <c:numFmt formatCode="&quot;₪&quot;\ #,##0_);[Red]\(&quot;₪&quot;\ #,##0\)" sourceLinked="0"/>
        <c:majorTickMark val="out"/>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716845712"/>
        <c:crosses val="autoZero"/>
        <c:crossBetween val="between"/>
        <c:dispUnits>
          <c:builtInUnit val="tenThousands"/>
          <c:dispUnitsLbl>
            <c:layout>
              <c:manualLayout>
                <c:xMode val="edge"/>
                <c:yMode val="edge"/>
                <c:x val="6.7688291353390689E-2"/>
                <c:y val="0.94119752263847256"/>
              </c:manualLayout>
            </c:layout>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dispUnitsLbl>
        </c:dispUnits>
      </c:valAx>
      <c:catAx>
        <c:axId val="716845712"/>
        <c:scaling>
          <c:orientation val="maxMin"/>
        </c:scaling>
        <c:delete val="0"/>
        <c:axPos val="r"/>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crossAx val="716855552"/>
        <c:crosses val="autoZero"/>
        <c:auto val="1"/>
        <c:lblAlgn val="ctr"/>
        <c:lblOffset val="100"/>
        <c:noMultiLvlLbl val="0"/>
      </c:catAx>
      <c:spPr>
        <a:noFill/>
        <a:ln>
          <a:noFill/>
        </a:ln>
        <a:effectLst/>
      </c:spPr>
    </c:plotArea>
    <c:legend>
      <c:legendPos val="t"/>
      <c:layout>
        <c:manualLayout>
          <c:xMode val="edge"/>
          <c:yMode val="edge"/>
          <c:x val="0.69357383631938319"/>
          <c:y val="1.0416663818716148E-2"/>
          <c:w val="0.29634907228550156"/>
          <c:h val="5.584425419831195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noFill/>
    <a:ln w="9525" cap="flat" cmpd="sng" algn="ctr">
      <a:noFill/>
      <a:round/>
    </a:ln>
    <a:effectLst/>
  </c:spPr>
  <c:txPr>
    <a:bodyPr/>
    <a:lstStyle/>
    <a:p>
      <a:pPr>
        <a:defRPr>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17</xdr:col>
      <xdr:colOff>27504</xdr:colOff>
      <xdr:row>3</xdr:row>
      <xdr:rowOff>0</xdr:rowOff>
    </xdr:from>
    <xdr:to>
      <xdr:col>20</xdr:col>
      <xdr:colOff>962</xdr:colOff>
      <xdr:row>12</xdr:row>
      <xdr:rowOff>192640</xdr:rowOff>
    </xdr:to>
    <xdr:sp macro="" textlink="">
      <xdr:nvSpPr>
        <xdr:cNvPr id="3" name="בועת דיבור: מלבן 2" descr="Tip: HOW TO USE THIS TEMPLATE&#10;Input data in the white cells on the PLANNED EXPENSES and ACTUAL EXPENSES worksheets, and the EXPENSE VARIANCES and EXPENSE ANALYSIS will be calculated for you.  If you add a row on one sheet, the other sheets need to match&#10;">
          <a:extLst>
            <a:ext uri="{FF2B5EF4-FFF2-40B4-BE49-F238E27FC236}">
              <a16:creationId xmlns:a16="http://schemas.microsoft.com/office/drawing/2014/main" id="{26EBCE28-31AF-4664-B39F-77F2857D060F}"/>
            </a:ext>
          </a:extLst>
        </xdr:cNvPr>
        <xdr:cNvSpPr/>
      </xdr:nvSpPr>
      <xdr:spPr>
        <a:xfrm flipH="1">
          <a:off x="15515154" y="1257300"/>
          <a:ext cx="1935608" cy="3288265"/>
        </a:xfrm>
        <a:prstGeom prst="wedgeRectCallout">
          <a:avLst>
            <a:gd name="adj1" fmla="val -65157"/>
            <a:gd name="adj2" fmla="val -20833"/>
          </a:avLst>
        </a:prstGeom>
        <a:solidFill>
          <a:schemeClr val="accent3">
            <a:lumMod val="20000"/>
            <a:lumOff val="80000"/>
            <a:alpha val="66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0" tIns="182880" rIns="182880" bIns="182880" rtlCol="1" anchor="t"/>
        <a:lstStyle/>
        <a:p>
          <a:pPr rtl="1"/>
          <a:r>
            <a:rPr lang="he" sz="1100" b="1">
              <a:solidFill>
                <a:schemeClr val="tx2"/>
              </a:solidFill>
              <a:effectLst/>
              <a:latin typeface="Tahoma" panose="020B0604030504040204" pitchFamily="34" charset="0"/>
              <a:ea typeface="+mn-ea"/>
              <a:cs typeface="Tahoma" panose="020B0604030504040204" pitchFamily="34" charset="0"/>
            </a:rPr>
            <a:t>אופן השימוש בתבנית זו</a:t>
          </a:r>
        </a:p>
        <a:p>
          <a:pPr rtl="1"/>
          <a:endParaRPr lang="en-US">
            <a:solidFill>
              <a:schemeClr val="tx2"/>
            </a:solidFill>
            <a:effectLst/>
            <a:latin typeface="Tahoma" panose="020B0604030504040204" pitchFamily="34" charset="0"/>
            <a:cs typeface="Tahoma" panose="020B0604030504040204" pitchFamily="34" charset="0"/>
          </a:endParaRPr>
        </a:p>
        <a:p>
          <a:pPr rtl="1"/>
          <a:r>
            <a:rPr lang="he" sz="1100">
              <a:solidFill>
                <a:schemeClr val="tx2"/>
              </a:solidFill>
              <a:effectLst/>
              <a:latin typeface="Tahoma" panose="020B0604030504040204" pitchFamily="34" charset="0"/>
              <a:ea typeface="+mn-ea"/>
              <a:cs typeface="Tahoma" panose="020B0604030504040204" pitchFamily="34" charset="0"/>
            </a:rPr>
            <a:t>הזן נתונים בתאים הלבנים שבגליונות העבודה 'הוצאות מתוכננות' ו'הוצאות בפועל'. גליונות העבודה 'שונות הוצאות' ו'ניתוח הוצאות' יחושבו עבורך באופן אוטומטי.  אם תוסיף שורה בגיליון אחד,</a:t>
          </a:r>
          <a:r>
            <a:rPr lang="he" sz="1100" baseline="0">
              <a:solidFill>
                <a:schemeClr val="tx2"/>
              </a:solidFill>
              <a:effectLst/>
              <a:latin typeface="Tahoma" panose="020B0604030504040204" pitchFamily="34" charset="0"/>
              <a:ea typeface="+mn-ea"/>
              <a:cs typeface="Tahoma" panose="020B0604030504040204" pitchFamily="34" charset="0"/>
            </a:rPr>
            <a:t> עליך להתאים את הגיליונות האחרים.</a:t>
          </a:r>
          <a:endParaRPr lang="en-US" sz="1100">
            <a:solidFill>
              <a:schemeClr val="tx2"/>
            </a:solidFill>
            <a:latin typeface="Tahoma" panose="020B0604030504040204" pitchFamily="34" charset="0"/>
            <a:cs typeface="Tahoma" panose="020B0604030504040204" pitchFamily="34" charset="0"/>
          </a:endParaRPr>
        </a:p>
      </xdr:txBody>
    </xdr:sp>
    <xdr:clientData fPrintsWithSheet="0"/>
  </xdr:twoCellAnchor>
  <xdr:twoCellAnchor editAs="oneCell">
    <xdr:from>
      <xdr:col>13</xdr:col>
      <xdr:colOff>267556</xdr:colOff>
      <xdr:row>1</xdr:row>
      <xdr:rowOff>20322</xdr:rowOff>
    </xdr:from>
    <xdr:to>
      <xdr:col>14</xdr:col>
      <xdr:colOff>740632</xdr:colOff>
      <xdr:row>2</xdr:row>
      <xdr:rowOff>121037</xdr:rowOff>
    </xdr:to>
    <xdr:pic>
      <xdr:nvPicPr>
        <xdr:cNvPr id="9" name="תמונה 18" descr="מציין מיקום של סמל">
          <a:extLst>
            <a:ext uri="{FF2B5EF4-FFF2-40B4-BE49-F238E27FC236}">
              <a16:creationId xmlns:a16="http://schemas.microsoft.com/office/drawing/2014/main" id="{65A40888-9F83-43E7-A699-52663041FF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04869808" y="325122"/>
          <a:ext cx="1547496" cy="672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267556</xdr:colOff>
      <xdr:row>1</xdr:row>
      <xdr:rowOff>20322</xdr:rowOff>
    </xdr:from>
    <xdr:to>
      <xdr:col>14</xdr:col>
      <xdr:colOff>740632</xdr:colOff>
      <xdr:row>2</xdr:row>
      <xdr:rowOff>121037</xdr:rowOff>
    </xdr:to>
    <xdr:pic>
      <xdr:nvPicPr>
        <xdr:cNvPr id="6" name="תמונה 18" descr="מציין מיקום של סמל">
          <a:extLst>
            <a:ext uri="{FF2B5EF4-FFF2-40B4-BE49-F238E27FC236}">
              <a16:creationId xmlns:a16="http://schemas.microsoft.com/office/drawing/2014/main" id="{83DAF7B9-4C56-44AA-B3C3-38F1A49B55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05197468" y="325122"/>
          <a:ext cx="1547496" cy="672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238125</xdr:colOff>
      <xdr:row>1</xdr:row>
      <xdr:rowOff>12608</xdr:rowOff>
    </xdr:from>
    <xdr:to>
      <xdr:col>14</xdr:col>
      <xdr:colOff>719407</xdr:colOff>
      <xdr:row>2</xdr:row>
      <xdr:rowOff>116888</xdr:rowOff>
    </xdr:to>
    <xdr:pic>
      <xdr:nvPicPr>
        <xdr:cNvPr id="6" name="תמונה 18" descr="מציין מיקום של סמל">
          <a:extLst>
            <a:ext uri="{FF2B5EF4-FFF2-40B4-BE49-F238E27FC236}">
              <a16:creationId xmlns:a16="http://schemas.microsoft.com/office/drawing/2014/main" id="{A2E6D019-45AC-4D89-848F-C976B436C0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05569213" y="317408"/>
          <a:ext cx="1555702" cy="67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12</xdr:row>
      <xdr:rowOff>200025</xdr:rowOff>
    </xdr:from>
    <xdr:to>
      <xdr:col>5</xdr:col>
      <xdr:colOff>1485900</xdr:colOff>
      <xdr:row>38</xdr:row>
      <xdr:rowOff>212153</xdr:rowOff>
    </xdr:to>
    <xdr:graphicFrame macro="">
      <xdr:nvGraphicFramePr>
        <xdr:cNvPr id="8" name="תרשים הוצאות חודשיות" descr="תרשים שמציג ערכים עבור 'מתוכננות', 'בפועל' ו'שונות' עבור ההוצאות החודשיות">
          <a:extLst>
            <a:ext uri="{FF2B5EF4-FFF2-40B4-BE49-F238E27FC236}">
              <a16:creationId xmlns:a16="http://schemas.microsoft.com/office/drawing/2014/main" id="{00000000-0008-0000-0300-000008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447675</xdr:colOff>
      <xdr:row>1</xdr:row>
      <xdr:rowOff>31425</xdr:rowOff>
    </xdr:from>
    <xdr:to>
      <xdr:col>6</xdr:col>
      <xdr:colOff>69215</xdr:colOff>
      <xdr:row>1</xdr:row>
      <xdr:rowOff>519105</xdr:rowOff>
    </xdr:to>
    <xdr:pic>
      <xdr:nvPicPr>
        <xdr:cNvPr id="9" name="תמונה 18" descr="מציין מיקום של סמל">
          <a:extLst>
            <a:ext uri="{FF2B5EF4-FFF2-40B4-BE49-F238E27FC236}">
              <a16:creationId xmlns:a16="http://schemas.microsoft.com/office/drawing/2014/main" id="{7C6D1F32-6273-47BA-873D-2E5A8467E2E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9110082745" y="336225"/>
          <a:ext cx="1122680" cy="48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289559</xdr:colOff>
      <xdr:row>11</xdr:row>
      <xdr:rowOff>0</xdr:rowOff>
    </xdr:from>
    <xdr:to>
      <xdr:col>5</xdr:col>
      <xdr:colOff>1478280</xdr:colOff>
      <xdr:row>11</xdr:row>
      <xdr:rowOff>3657601</xdr:rowOff>
    </xdr:to>
    <xdr:graphicFrame macro="">
      <xdr:nvGraphicFramePr>
        <xdr:cNvPr id="7" name="תרשים הוצאות בפועל" descr="תרשים עוגה שמציג את ההוצאות בפועל שנגרמו במגוון קטגוריות">
          <a:extLst>
            <a:ext uri="{FF2B5EF4-FFF2-40B4-BE49-F238E27FC236}">
              <a16:creationId xmlns:a16="http://schemas.microsoft.com/office/drawing/2014/main" id="{FE109E8A-EB22-46B1-850C-BFD738E259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fficePlan" displayName="OfficePlan" ref="B10:O19" totalsRowCount="1" headerRowDxfId="524" dataDxfId="522" totalsRowDxfId="520" headerRowBorderDxfId="523" tableBorderDxfId="521" totalsRowBorderDxfId="519">
  <autoFilter ref="B10:O18"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000-000001000000}" name="עלויות משרדיות" totalsRowLabel="סכום ביניים" dataDxfId="518" totalsRowDxfId="517"/>
    <tableColumn id="2" xr3:uid="{00000000-0010-0000-0000-000002000000}" name="ינו" totalsRowFunction="sum" dataDxfId="516" totalsRowDxfId="515"/>
    <tableColumn id="3" xr3:uid="{00000000-0010-0000-0000-000003000000}" name="פבר" totalsRowFunction="sum" dataDxfId="514" totalsRowDxfId="513"/>
    <tableColumn id="4" xr3:uid="{00000000-0010-0000-0000-000004000000}" name="מרץ" totalsRowFunction="sum" dataDxfId="512" totalsRowDxfId="511"/>
    <tableColumn id="5" xr3:uid="{00000000-0010-0000-0000-000005000000}" name="אפר" totalsRowFunction="sum" dataDxfId="510" totalsRowDxfId="509"/>
    <tableColumn id="6" xr3:uid="{00000000-0010-0000-0000-000006000000}" name="מאי" totalsRowFunction="sum" dataDxfId="508" totalsRowDxfId="507"/>
    <tableColumn id="7" xr3:uid="{00000000-0010-0000-0000-000007000000}" name="יונ" totalsRowFunction="sum" dataDxfId="506" totalsRowDxfId="505"/>
    <tableColumn id="8" xr3:uid="{00000000-0010-0000-0000-000008000000}" name="יול" totalsRowFunction="sum" dataDxfId="504" totalsRowDxfId="503"/>
    <tableColumn id="9" xr3:uid="{00000000-0010-0000-0000-000009000000}" name="אוג" totalsRowFunction="sum" dataDxfId="502" totalsRowDxfId="501"/>
    <tableColumn id="10" xr3:uid="{00000000-0010-0000-0000-00000A000000}" name="ספט" totalsRowFunction="sum" dataDxfId="500" totalsRowDxfId="499"/>
    <tableColumn id="11" xr3:uid="{00000000-0010-0000-0000-00000B000000}" name="אוק" totalsRowFunction="sum" dataDxfId="498" totalsRowDxfId="497"/>
    <tableColumn id="12" xr3:uid="{00000000-0010-0000-0000-00000C000000}" name="נוב" totalsRowFunction="sum" dataDxfId="496" totalsRowDxfId="495"/>
    <tableColumn id="13" xr3:uid="{00000000-0010-0000-0000-00000D000000}" name="דצמ" totalsRowFunction="sum" dataDxfId="494" totalsRowDxfId="493"/>
    <tableColumn id="14" xr3:uid="{00000000-0010-0000-0000-00000E000000}" name="שנה" totalsRowFunction="sum" dataDxfId="492" totalsRowDxfId="491">
      <calculatedColumnFormula>SUM(C11:N11)</calculatedColumnFormula>
    </tableColumn>
  </tableColumns>
  <tableStyleInfo name="TableStyleLight8" showFirstColumn="1" showLastColumn="1" showRowStripes="0" showColumnStripes="0"/>
  <extLst>
    <ext xmlns:x14="http://schemas.microsoft.com/office/spreadsheetml/2009/9/main" uri="{504A1905-F514-4f6f-8877-14C23A59335A}">
      <x14:table altTextSummary="הזן עלויות משרד חודשיות מתוכננות בטבלה זו. הסכום מחושב באופן אוטומטי בסוף"/>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B099C32-C8DE-492A-BEED-550CF2841A11}" name="TotalActual" displayName="TotalActual" ref="B35:O37" headerRowDxfId="218" dataDxfId="217" totalsRowDxfId="215" tableBorderDxfId="216">
  <autoFilter ref="B35:O37" xr:uid="{527B5B30-B216-4604-BE5A-D760DE033F9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359818E9-FD74-4273-8957-D80FFA77ADE8}" name="הוצאות מתוכננות כוללות" totalsRowLabel="סה&quot;כ" dataDxfId="214" totalsRowDxfId="213"/>
    <tableColumn id="2" xr3:uid="{ED08B701-BD0B-43EA-B6B5-8B23D583D505}" name="ינו" dataDxfId="212" totalsRowDxfId="211">
      <calculatedColumnFormula>SUM($C35:C$36)</calculatedColumnFormula>
    </tableColumn>
    <tableColumn id="3" xr3:uid="{953C450B-5235-4234-924F-53796609C439}" name="פבר" dataDxfId="210" totalsRowDxfId="209">
      <calculatedColumnFormula>SUM($C35:D$36)</calculatedColumnFormula>
    </tableColumn>
    <tableColumn id="4" xr3:uid="{A434CE91-3696-411F-8418-02228D13F12E}" name="מרץ" dataDxfId="208" totalsRowDxfId="207">
      <calculatedColumnFormula>SUM($C35:E$36)</calculatedColumnFormula>
    </tableColumn>
    <tableColumn id="5" xr3:uid="{1E74C645-B91F-4CDB-9F55-6FEC8EAB0A64}" name="אפר" dataDxfId="206" totalsRowDxfId="205">
      <calculatedColumnFormula>SUM($C35:F$36)</calculatedColumnFormula>
    </tableColumn>
    <tableColumn id="6" xr3:uid="{A3B698F1-9EF3-489A-A70E-8E760D6B713B}" name="מאי" dataDxfId="204" totalsRowDxfId="203">
      <calculatedColumnFormula>SUM($C35:G$36)</calculatedColumnFormula>
    </tableColumn>
    <tableColumn id="7" xr3:uid="{6CEDC80B-5635-47E7-AA54-EBD827095F7C}" name="יונ" dataDxfId="202" totalsRowDxfId="201">
      <calculatedColumnFormula>SUM($C35:H$36)</calculatedColumnFormula>
    </tableColumn>
    <tableColumn id="8" xr3:uid="{A73C88FE-0ABF-4134-B6B0-043ECC9295D4}" name="יול" dataDxfId="200" totalsRowDxfId="199">
      <calculatedColumnFormula>SUM($C35:I$36)</calculatedColumnFormula>
    </tableColumn>
    <tableColumn id="9" xr3:uid="{62119987-B16F-44A1-B80E-29460A9513CD}" name="אוג" dataDxfId="198" totalsRowDxfId="197">
      <calculatedColumnFormula>SUM($C35:J$36)</calculatedColumnFormula>
    </tableColumn>
    <tableColumn id="10" xr3:uid="{C84A40CE-DC4A-442E-883F-891CA5A9A166}" name="ספט" dataDxfId="196" totalsRowDxfId="195">
      <calculatedColumnFormula>SUM($C35:K$36)</calculatedColumnFormula>
    </tableColumn>
    <tableColumn id="11" xr3:uid="{4DB975F1-C294-416D-81FB-A8070CC2C3BC}" name="אוק" dataDxfId="194" totalsRowDxfId="193">
      <calculatedColumnFormula>SUM($C35:L$36)</calculatedColumnFormula>
    </tableColumn>
    <tableColumn id="12" xr3:uid="{BC57DA11-9B5C-452D-8026-EF863D07E32E}" name="נוב" dataDxfId="192" totalsRowDxfId="191">
      <calculatedColumnFormula>SUM($C35:M$36)</calculatedColumnFormula>
    </tableColumn>
    <tableColumn id="13" xr3:uid="{904E02FB-FEA8-49B0-ABA0-9B659A7720D8}" name="דצמ" dataDxfId="190" totalsRowDxfId="189">
      <calculatedColumnFormula>SUM($C35:N$36)</calculatedColumnFormula>
    </tableColumn>
    <tableColumn id="14" xr3:uid="{8C10E0BB-4735-4718-9538-C4AFB616D92A}" name="שנה" totalsRowFunction="sum" dataDxfId="188" totalsRowDxfId="187"/>
  </tableColumns>
  <tableStyleInfo name="TableStyleMedium1" showFirstColumn="1" showLastColumn="0" showRowStripes="0" showColumnStripes="0"/>
  <extLst>
    <ext xmlns:x14="http://schemas.microsoft.com/office/spreadsheetml/2009/9/main" uri="{504A1905-F514-4f6f-8877-14C23A59335A}">
      <x14:table altTextSummary="ההוצאות החודשיות והכוללות בפועל מחושבות באופן אוטומטי בטבלה זו"/>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EmployeeVariances" displayName="EmployeeVariances" ref="B5:O8" totalsRowCount="1" headerRowDxfId="186" dataDxfId="184" totalsRowDxfId="182" headerRowBorderDxfId="185" tableBorderDxfId="183" totalsRowBorderDxfId="181">
  <autoFilter ref="B5:O7"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800-000001000000}" name="עלויות עובדים" totalsRowLabel="סכום ביניים" dataDxfId="180" totalsRowDxfId="179"/>
    <tableColumn id="2" xr3:uid="{00000000-0010-0000-0800-000002000000}" name="ינו" totalsRowFunction="sum" dataDxfId="178" totalsRowDxfId="177">
      <calculatedColumnFormula>INDEX(EmployeePlan[],MATCH(INDEX(EmployeeVariances[],ROW()-ROW(EmployeeVariances[[#Headers],[ינו]]),1),INDEX(EmployeePlan[],,1),0),MATCH(EmployeeVariances[[#Headers],[ינו]],EmployeePlan[#Headers],0))-INDEX(EmployeeActual[],MATCH(INDEX(EmployeeVariances[],ROW()-ROW(EmployeeVariances[[#Headers],[ינו]]),1),INDEX(EmployeePlan[],,1),0),MATCH(EmployeeVariances[[#Headers],[ינו]],EmployeeActual[#Headers],0))</calculatedColumnFormula>
    </tableColumn>
    <tableColumn id="3" xr3:uid="{00000000-0010-0000-0800-000003000000}" name="פבר" totalsRowFunction="sum" dataDxfId="176" totalsRowDxfId="175">
      <calculatedColumnFormula>INDEX(EmployeePlan[],MATCH(INDEX(EmployeeVariances[],ROW()-ROW(EmployeeVariances[[#Headers],[פבר]]),1),INDEX(EmployeePlan[],,1),0),MATCH(EmployeeVariances[[#Headers],[פבר]],EmployeePlan[#Headers],0))-INDEX(EmployeeActual[],MATCH(INDEX(EmployeeVariances[],ROW()-ROW(EmployeeVariances[[#Headers],[פבר]]),1),INDEX(EmployeePlan[],,1),0),MATCH(EmployeeVariances[[#Headers],[פבר]],EmployeeActual[#Headers],0))</calculatedColumnFormula>
    </tableColumn>
    <tableColumn id="4" xr3:uid="{00000000-0010-0000-0800-000004000000}" name="מרץ" totalsRowFunction="sum" dataDxfId="174" totalsRowDxfId="173">
      <calculatedColumnFormula>INDEX(EmployeePlan[],MATCH(INDEX(EmployeeVariances[],ROW()-ROW(EmployeeVariances[[#Headers],[מרץ]]),1),INDEX(EmployeePlan[],,1),0),MATCH(EmployeeVariances[[#Headers],[מרץ]],EmployeePlan[#Headers],0))-INDEX(EmployeeActual[],MATCH(INDEX(EmployeeVariances[],ROW()-ROW(EmployeeVariances[[#Headers],[מרץ]]),1),INDEX(EmployeePlan[],,1),0),MATCH(EmployeeVariances[[#Headers],[מרץ]],EmployeeActual[#Headers],0))</calculatedColumnFormula>
    </tableColumn>
    <tableColumn id="5" xr3:uid="{00000000-0010-0000-0800-000005000000}" name="אפר" totalsRowFunction="sum" dataDxfId="172" totalsRowDxfId="171">
      <calculatedColumnFormula>INDEX(EmployeePlan[],MATCH(INDEX(EmployeeVariances[],ROW()-ROW(EmployeeVariances[[#Headers],[אפר]]),1),INDEX(EmployeePlan[],,1),0),MATCH(EmployeeVariances[[#Headers],[אפר]],EmployeePlan[#Headers],0))-INDEX(EmployeeActual[],MATCH(INDEX(EmployeeVariances[],ROW()-ROW(EmployeeVariances[[#Headers],[אפר]]),1),INDEX(EmployeePlan[],,1),0),MATCH(EmployeeVariances[[#Headers],[אפר]],EmployeeActual[#Headers],0))</calculatedColumnFormula>
    </tableColumn>
    <tableColumn id="6" xr3:uid="{00000000-0010-0000-0800-000006000000}" name="מאי" totalsRowFunction="sum" dataDxfId="170" totalsRowDxfId="169">
      <calculatedColumnFormula>INDEX(EmployeePlan[],MATCH(INDEX(EmployeeVariances[],ROW()-ROW(EmployeeVariances[[#Headers],[מאי]]),1),INDEX(EmployeePlan[],,1),0),MATCH(EmployeeVariances[[#Headers],[מאי]],EmployeePlan[#Headers],0))-INDEX(EmployeeActual[],MATCH(INDEX(EmployeeVariances[],ROW()-ROW(EmployeeVariances[[#Headers],[מאי]]),1),INDEX(EmployeePlan[],,1),0),MATCH(EmployeeVariances[[#Headers],[מאי]],EmployeeActual[#Headers],0))</calculatedColumnFormula>
    </tableColumn>
    <tableColumn id="7" xr3:uid="{00000000-0010-0000-0800-000007000000}" name="יונ" totalsRowFunction="sum" dataDxfId="168" totalsRowDxfId="167">
      <calculatedColumnFormula>INDEX(EmployeePlan[],MATCH(INDEX(EmployeeVariances[],ROW()-ROW(EmployeeVariances[[#Headers],[יונ]]),1),INDEX(EmployeePlan[],,1),0),MATCH(EmployeeVariances[[#Headers],[יונ]],EmployeePlan[#Headers],0))-INDEX(EmployeeActual[],MATCH(INDEX(EmployeeVariances[],ROW()-ROW(EmployeeVariances[[#Headers],[יונ]]),1),INDEX(EmployeePlan[],,1),0),MATCH(EmployeeVariances[[#Headers],[יונ]],EmployeeActual[#Headers],0))</calculatedColumnFormula>
    </tableColumn>
    <tableColumn id="8" xr3:uid="{00000000-0010-0000-0800-000008000000}" name="יול" totalsRowFunction="sum" dataDxfId="166" totalsRowDxfId="165">
      <calculatedColumnFormula>INDEX(EmployeePlan[],MATCH(INDEX(EmployeeVariances[],ROW()-ROW(EmployeeVariances[[#Headers],[יול]]),1),INDEX(EmployeePlan[],,1),0),MATCH(EmployeeVariances[[#Headers],[יול]],EmployeePlan[#Headers],0))-INDEX(EmployeeActual[],MATCH(INDEX(EmployeeVariances[],ROW()-ROW(EmployeeVariances[[#Headers],[יול]]),1),INDEX(EmployeePlan[],,1),0),MATCH(EmployeeVariances[[#Headers],[יול]],EmployeeActual[#Headers],0))</calculatedColumnFormula>
    </tableColumn>
    <tableColumn id="9" xr3:uid="{00000000-0010-0000-0800-000009000000}" name="אוג" totalsRowFunction="sum" dataDxfId="164" totalsRowDxfId="163">
      <calculatedColumnFormula>INDEX(EmployeePlan[],MATCH(INDEX(EmployeeVariances[],ROW()-ROW(EmployeeVariances[[#Headers],[אוג]]),1),INDEX(EmployeePlan[],,1),0),MATCH(EmployeeVariances[[#Headers],[אוג]],EmployeePlan[#Headers],0))-INDEX(EmployeeActual[],MATCH(INDEX(EmployeeVariances[],ROW()-ROW(EmployeeVariances[[#Headers],[אוג]]),1),INDEX(EmployeePlan[],,1),0),MATCH(EmployeeVariances[[#Headers],[אוג]],EmployeeActual[#Headers],0))</calculatedColumnFormula>
    </tableColumn>
    <tableColumn id="10" xr3:uid="{00000000-0010-0000-0800-00000A000000}" name="ספט" totalsRowFunction="sum" dataDxfId="162" totalsRowDxfId="161">
      <calculatedColumnFormula>INDEX(EmployeePlan[],MATCH(INDEX(EmployeeVariances[],ROW()-ROW(EmployeeVariances[[#Headers],[ספט]]),1),INDEX(EmployeePlan[],,1),0),MATCH(EmployeeVariances[[#Headers],[ספט]],EmployeePlan[#Headers],0))-INDEX(EmployeeActual[],MATCH(INDEX(EmployeeVariances[],ROW()-ROW(EmployeeVariances[[#Headers],[ספט]]),1),INDEX(EmployeePlan[],,1),0),MATCH(EmployeeVariances[[#Headers],[ספט]],EmployeeActual[#Headers],0))</calculatedColumnFormula>
    </tableColumn>
    <tableColumn id="11" xr3:uid="{00000000-0010-0000-0800-00000B000000}" name="אוק" totalsRowFunction="sum" dataDxfId="160" totalsRowDxfId="159">
      <calculatedColumnFormula>INDEX(EmployeePlan[],MATCH(INDEX(EmployeeVariances[],ROW()-ROW(EmployeeVariances[[#Headers],[אוק]]),1),INDEX(EmployeePlan[],,1),0),MATCH(EmployeeVariances[[#Headers],[אוק]],EmployeePlan[#Headers],0))-INDEX(EmployeeActual[],MATCH(INDEX(EmployeeVariances[],ROW()-ROW(EmployeeVariances[[#Headers],[אוק]]),1),INDEX(EmployeePlan[],,1),0),MATCH(EmployeeVariances[[#Headers],[אוק]],EmployeeActual[#Headers],0))</calculatedColumnFormula>
    </tableColumn>
    <tableColumn id="12" xr3:uid="{00000000-0010-0000-0800-00000C000000}" name="נוב" totalsRowFunction="sum" dataDxfId="158" totalsRowDxfId="157">
      <calculatedColumnFormula>INDEX(EmployeePlan[],MATCH(INDEX(EmployeeVariances[],ROW()-ROW(EmployeeVariances[[#Headers],[נוב]]),1),INDEX(EmployeePlan[],,1),0),MATCH(EmployeeVariances[[#Headers],[נוב]],EmployeePlan[#Headers],0))-INDEX(EmployeeActual[],MATCH(INDEX(EmployeeVariances[],ROW()-ROW(EmployeeVariances[[#Headers],[נוב]]),1),INDEX(EmployeePlan[],,1),0),MATCH(EmployeeVariances[[#Headers],[נוב]],EmployeeActual[#Headers],0))</calculatedColumnFormula>
    </tableColumn>
    <tableColumn id="13" xr3:uid="{00000000-0010-0000-0800-00000D000000}" name="דצמ" totalsRowFunction="sum" dataDxfId="156" totalsRowDxfId="155">
      <calculatedColumnFormula>INDEX(EmployeePlan[],MATCH(INDEX(EmployeeVariances[],ROW()-ROW(EmployeeVariances[[#Headers],[דצמ]]),1),INDEX(EmployeePlan[],,1),0),MATCH(EmployeeVariances[[#Headers],[דצמ]],EmployeePlan[#Headers],0))-INDEX(EmployeeActual[],MATCH(INDEX(EmployeeVariances[],ROW()-ROW(EmployeeVariances[[#Headers],[דצמ]]),1),INDEX(EmployeePlan[],,1),0),MATCH(EmployeeVariances[[#Headers],[דצמ]],EmployeeActual[#Headers],0))</calculatedColumnFormula>
    </tableColumn>
    <tableColumn id="14" xr3:uid="{00000000-0010-0000-0800-00000E000000}" name="שנה" totalsRowFunction="sum" dataDxfId="154" totalsRowDxfId="153">
      <calculatedColumnFormula>SUM(EmployeeVariances[[#This Row],[ינו]:[דצמ]])</calculatedColumnFormula>
    </tableColumn>
  </tableColumns>
  <tableStyleInfo name="TableStyleLight8" showFirstColumn="1" showLastColumn="0" showRowStripes="0" showColumnStripes="0"/>
  <extLst>
    <ext xmlns:x14="http://schemas.microsoft.com/office/spreadsheetml/2009/9/main" uri="{504A1905-F514-4f6f-8877-14C23A59335A}">
      <x14:table altTextSummary="השונות בעלויות העובדים בכל חודש מחושבת באופן אוטומטי בטבלה זו"/>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OfficeVariances" displayName="OfficeVariances" ref="B10:O19" totalsRowCount="1" headerRowDxfId="152" dataDxfId="150" totalsRowDxfId="148" headerRowBorderDxfId="151" tableBorderDxfId="149" totalsRowBorderDxfId="147">
  <autoFilter ref="B10:O18" xr:uid="{00000000-0009-0000-0100-00000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900-000001000000}" name="עלויות משרדיות" totalsRowLabel="סכום ביניים" dataDxfId="146" totalsRowDxfId="145"/>
    <tableColumn id="2" xr3:uid="{00000000-0010-0000-0900-000002000000}" name="ינו" totalsRowFunction="sum" dataDxfId="144" totalsRowDxfId="143">
      <calculatedColumnFormula>INDEX(OfficePlan[],MATCH(INDEX(OfficeVariances[],ROW()-ROW(OfficeVariances[[#Headers],[ינו]]),1),INDEX(OfficePlan[],,1),0),MATCH(OfficeVariances[[#Headers],[ינו]],OfficePlan[#Headers],0))-INDEX(OfficeActual[],MATCH(INDEX(OfficeVariances[],ROW()-ROW(OfficeVariances[[#Headers],[ינו]]),1),INDEX(OfficePlan[],,1),0),MATCH(OfficeVariances[[#Headers],[ינו]],OfficeActual[#Headers],0))</calculatedColumnFormula>
    </tableColumn>
    <tableColumn id="3" xr3:uid="{00000000-0010-0000-0900-000003000000}" name="פבר" totalsRowFunction="sum" dataDxfId="142" totalsRowDxfId="141">
      <calculatedColumnFormula>INDEX(OfficePlan[],MATCH(INDEX(OfficeVariances[],ROW()-ROW(OfficeVariances[[#Headers],[פבר]]),1),INDEX(OfficePlan[],,1),0),MATCH(OfficeVariances[[#Headers],[פבר]],OfficePlan[#Headers],0))-INDEX(OfficeActual[],MATCH(INDEX(OfficeVariances[],ROW()-ROW(OfficeVariances[[#Headers],[פבר]]),1),INDEX(OfficePlan[],,1),0),MATCH(OfficeVariances[[#Headers],[פבר]],OfficeActual[#Headers],0))</calculatedColumnFormula>
    </tableColumn>
    <tableColumn id="4" xr3:uid="{00000000-0010-0000-0900-000004000000}" name="מרץ" totalsRowFunction="sum" dataDxfId="140" totalsRowDxfId="139">
      <calculatedColumnFormula>INDEX(OfficePlan[],MATCH(INDEX(OfficeVariances[],ROW()-ROW(OfficeVariances[[#Headers],[מרץ]]),1),INDEX(OfficePlan[],,1),0),MATCH(OfficeVariances[[#Headers],[מרץ]],OfficePlan[#Headers],0))-INDEX(OfficeActual[],MATCH(INDEX(OfficeVariances[],ROW()-ROW(OfficeVariances[[#Headers],[מרץ]]),1),INDEX(OfficePlan[],,1),0),MATCH(OfficeVariances[[#Headers],[מרץ]],OfficeActual[#Headers],0))</calculatedColumnFormula>
    </tableColumn>
    <tableColumn id="5" xr3:uid="{00000000-0010-0000-0900-000005000000}" name="אפר" totalsRowFunction="sum" dataDxfId="138" totalsRowDxfId="137">
      <calculatedColumnFormula>INDEX(OfficePlan[],MATCH(INDEX(OfficeVariances[],ROW()-ROW(OfficeVariances[[#Headers],[אפר]]),1),INDEX(OfficePlan[],,1),0),MATCH(OfficeVariances[[#Headers],[אפר]],OfficePlan[#Headers],0))-INDEX(OfficeActual[],MATCH(INDEX(OfficeVariances[],ROW()-ROW(OfficeVariances[[#Headers],[אפר]]),1),INDEX(OfficePlan[],,1),0),MATCH(OfficeVariances[[#Headers],[אפר]],OfficeActual[#Headers],0))</calculatedColumnFormula>
    </tableColumn>
    <tableColumn id="6" xr3:uid="{00000000-0010-0000-0900-000006000000}" name="מאי" totalsRowFunction="sum" dataDxfId="136" totalsRowDxfId="135">
      <calculatedColumnFormula>INDEX(OfficePlan[],MATCH(INDEX(OfficeVariances[],ROW()-ROW(OfficeVariances[[#Headers],[מאי]]),1),INDEX(OfficePlan[],,1),0),MATCH(OfficeVariances[[#Headers],[מאי]],OfficePlan[#Headers],0))-INDEX(OfficeActual[],MATCH(INDEX(OfficeVariances[],ROW()-ROW(OfficeVariances[[#Headers],[מאי]]),1),INDEX(OfficePlan[],,1),0),MATCH(OfficeVariances[[#Headers],[מאי]],OfficeActual[#Headers],0))</calculatedColumnFormula>
    </tableColumn>
    <tableColumn id="7" xr3:uid="{00000000-0010-0000-0900-000007000000}" name="יונ" totalsRowFunction="sum" dataDxfId="134" totalsRowDxfId="133">
      <calculatedColumnFormula>INDEX(OfficePlan[],MATCH(INDEX(OfficeVariances[],ROW()-ROW(OfficeVariances[[#Headers],[יונ]]),1),INDEX(OfficePlan[],,1),0),MATCH(OfficeVariances[[#Headers],[יונ]],OfficePlan[#Headers],0))-INDEX(OfficeActual[],MATCH(INDEX(OfficeVariances[],ROW()-ROW(OfficeVariances[[#Headers],[יונ]]),1),INDEX(OfficePlan[],,1),0),MATCH(OfficeVariances[[#Headers],[יונ]],OfficeActual[#Headers],0))</calculatedColumnFormula>
    </tableColumn>
    <tableColumn id="8" xr3:uid="{00000000-0010-0000-0900-000008000000}" name="יול" totalsRowFunction="sum" dataDxfId="132" totalsRowDxfId="131">
      <calculatedColumnFormula>INDEX(OfficePlan[],MATCH(INDEX(OfficeVariances[],ROW()-ROW(OfficeVariances[[#Headers],[יול]]),1),INDEX(OfficePlan[],,1),0),MATCH(OfficeVariances[[#Headers],[יול]],OfficePlan[#Headers],0))-INDEX(OfficeActual[],MATCH(INDEX(OfficeVariances[],ROW()-ROW(OfficeVariances[[#Headers],[יול]]),1),INDEX(OfficePlan[],,1),0),MATCH(OfficeVariances[[#Headers],[יול]],OfficeActual[#Headers],0))</calculatedColumnFormula>
    </tableColumn>
    <tableColumn id="9" xr3:uid="{00000000-0010-0000-0900-000009000000}" name="אוג" totalsRowFunction="sum" dataDxfId="130" totalsRowDxfId="129">
      <calculatedColumnFormula>INDEX(OfficePlan[],MATCH(INDEX(OfficeVariances[],ROW()-ROW(OfficeVariances[[#Headers],[אוג]]),1),INDEX(OfficePlan[],,1),0),MATCH(OfficeVariances[[#Headers],[אוג]],OfficePlan[#Headers],0))-INDEX(OfficeActual[],MATCH(INDEX(OfficeVariances[],ROW()-ROW(OfficeVariances[[#Headers],[אוג]]),1),INDEX(OfficePlan[],,1),0),MATCH(OfficeVariances[[#Headers],[אוג]],OfficeActual[#Headers],0))</calculatedColumnFormula>
    </tableColumn>
    <tableColumn id="10" xr3:uid="{00000000-0010-0000-0900-00000A000000}" name="ספט" totalsRowFunction="sum" dataDxfId="128" totalsRowDxfId="127">
      <calculatedColumnFormula>INDEX(OfficePlan[],MATCH(INDEX(OfficeVariances[],ROW()-ROW(OfficeVariances[[#Headers],[ספט]]),1),INDEX(OfficePlan[],,1),0),MATCH(OfficeVariances[[#Headers],[ספט]],OfficePlan[#Headers],0))-INDEX(OfficeActual[],MATCH(INDEX(OfficeVariances[],ROW()-ROW(OfficeVariances[[#Headers],[ספט]]),1),INDEX(OfficePlan[],,1),0),MATCH(OfficeVariances[[#Headers],[ספט]],OfficeActual[#Headers],0))</calculatedColumnFormula>
    </tableColumn>
    <tableColumn id="11" xr3:uid="{00000000-0010-0000-0900-00000B000000}" name="אוק" totalsRowFunction="sum" dataDxfId="126" totalsRowDxfId="125">
      <calculatedColumnFormula>INDEX(OfficePlan[],MATCH(INDEX(OfficeVariances[],ROW()-ROW(OfficeVariances[[#Headers],[אוק]]),1),INDEX(OfficePlan[],,1),0),MATCH(OfficeVariances[[#Headers],[אוק]],OfficePlan[#Headers],0))-INDEX(OfficeActual[],MATCH(INDEX(OfficeVariances[],ROW()-ROW(OfficeVariances[[#Headers],[אוק]]),1),INDEX(OfficePlan[],,1),0),MATCH(OfficeVariances[[#Headers],[אוק]],OfficeActual[#Headers],0))</calculatedColumnFormula>
    </tableColumn>
    <tableColumn id="12" xr3:uid="{00000000-0010-0000-0900-00000C000000}" name="נוב" totalsRowFunction="sum" dataDxfId="124" totalsRowDxfId="123">
      <calculatedColumnFormula>INDEX(OfficePlan[],MATCH(INDEX(OfficeVariances[],ROW()-ROW(OfficeVariances[[#Headers],[נוב]]),1),INDEX(OfficePlan[],,1),0),MATCH(OfficeVariances[[#Headers],[נוב]],OfficePlan[#Headers],0))-INDEX(OfficeActual[],MATCH(INDEX(OfficeVariances[],ROW()-ROW(OfficeVariances[[#Headers],[נוב]]),1),INDEX(OfficePlan[],,1),0),MATCH(OfficeVariances[[#Headers],[נוב]],OfficeActual[#Headers],0))</calculatedColumnFormula>
    </tableColumn>
    <tableColumn id="13" xr3:uid="{00000000-0010-0000-0900-00000D000000}" name="דצמ" totalsRowFunction="sum" dataDxfId="122" totalsRowDxfId="121">
      <calculatedColumnFormula>INDEX(OfficePlan[],MATCH(INDEX(OfficeVariances[],ROW()-ROW(OfficeVariances[[#Headers],[דצמ]]),1),INDEX(OfficePlan[],,1),0),MATCH(OfficeVariances[[#Headers],[דצמ]],OfficePlan[#Headers],0))-INDEX(OfficeActual[],MATCH(INDEX(OfficeVariances[],ROW()-ROW(OfficeVariances[[#Headers],[דצמ]]),1),INDEX(OfficePlan[],,1),0),MATCH(OfficeVariances[[#Headers],[דצמ]],OfficeActual[#Headers],0))</calculatedColumnFormula>
    </tableColumn>
    <tableColumn id="14" xr3:uid="{00000000-0010-0000-0900-00000E000000}" name="שנה" totalsRowFunction="sum" dataDxfId="120" totalsRowDxfId="119">
      <calculatedColumnFormula>SUM(OfficeVariances[[#This Row],[ינו]:[דצמ]])</calculatedColumnFormula>
    </tableColumn>
  </tableColumns>
  <tableStyleInfo name="TableStyleLight8" showFirstColumn="1" showLastColumn="1" showRowStripes="0" showColumnStripes="0"/>
  <extLst>
    <ext xmlns:x14="http://schemas.microsoft.com/office/spreadsheetml/2009/9/main" uri="{504A1905-F514-4f6f-8877-14C23A59335A}">
      <x14:table altTextSummary="השונות בעלויות המשרדיות בכל חודש מחושבת באופן אוטומטי בטבלה זו"/>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MarketingVariances" displayName="MarketingVariances" ref="B21:O28" totalsRowCount="1" headerRowDxfId="118" dataDxfId="116" totalsRowDxfId="114" headerRowBorderDxfId="117" tableBorderDxfId="115" totalsRowBorderDxfId="113">
  <autoFilter ref="B21:O27"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A00-000001000000}" name="עלויות שיווק" totalsRowLabel="סכום ביניים" dataDxfId="112" totalsRowDxfId="111"/>
    <tableColumn id="2" xr3:uid="{00000000-0010-0000-0A00-000002000000}" name="ינו" totalsRowFunction="sum" dataDxfId="110" totalsRowDxfId="109">
      <calculatedColumnFormula>INDEX(MarketingPlan[],MATCH(INDEX(MarketingVariances[],ROW()-ROW(MarketingVariances[[#Headers],[ינו]]),1),INDEX(MarketingPlan[],,1),0),MATCH(MarketingVariances[[#Headers],[ינו]],MarketingPlan[#Headers],0))-INDEX(MarketingActual[],MATCH(INDEX(MarketingVariances[],ROW()-ROW(MarketingVariances[[#Headers],[ינו]]),1),INDEX(MarketingPlan[],,1),0),MATCH(MarketingVariances[[#Headers],[ינו]],MarketingActual[#Headers],0))</calculatedColumnFormula>
    </tableColumn>
    <tableColumn id="3" xr3:uid="{00000000-0010-0000-0A00-000003000000}" name="פבר" totalsRowFunction="sum" dataDxfId="108" totalsRowDxfId="107">
      <calculatedColumnFormula>INDEX(MarketingPlan[],MATCH(INDEX(MarketingVariances[],ROW()-ROW(MarketingVariances[[#Headers],[פבר]]),1),INDEX(MarketingPlan[],,1),0),MATCH(MarketingVariances[[#Headers],[פבר]],MarketingPlan[#Headers],0))-INDEX(MarketingActual[],MATCH(INDEX(MarketingVariances[],ROW()-ROW(MarketingVariances[[#Headers],[פבר]]),1),INDEX(MarketingPlan[],,1),0),MATCH(MarketingVariances[[#Headers],[פבר]],MarketingActual[#Headers],0))</calculatedColumnFormula>
    </tableColumn>
    <tableColumn id="4" xr3:uid="{00000000-0010-0000-0A00-000004000000}" name="מרץ" totalsRowFunction="sum" dataDxfId="106" totalsRowDxfId="105">
      <calculatedColumnFormula>INDEX(MarketingPlan[],MATCH(INDEX(MarketingVariances[],ROW()-ROW(MarketingVariances[[#Headers],[מרץ]]),1),INDEX(MarketingPlan[],,1),0),MATCH(MarketingVariances[[#Headers],[מרץ]],MarketingPlan[#Headers],0))-INDEX(MarketingActual[],MATCH(INDEX(MarketingVariances[],ROW()-ROW(MarketingVariances[[#Headers],[מרץ]]),1),INDEX(MarketingPlan[],,1),0),MATCH(MarketingVariances[[#Headers],[מרץ]],MarketingActual[#Headers],0))</calculatedColumnFormula>
    </tableColumn>
    <tableColumn id="5" xr3:uid="{00000000-0010-0000-0A00-000005000000}" name="אפר" totalsRowFunction="sum" dataDxfId="104" totalsRowDxfId="103">
      <calculatedColumnFormula>INDEX(MarketingPlan[],MATCH(INDEX(MarketingVariances[],ROW()-ROW(MarketingVariances[[#Headers],[אפר]]),1),INDEX(MarketingPlan[],,1),0),MATCH(MarketingVariances[[#Headers],[אפר]],MarketingPlan[#Headers],0))-INDEX(MarketingActual[],MATCH(INDEX(MarketingVariances[],ROW()-ROW(MarketingVariances[[#Headers],[אפר]]),1),INDEX(MarketingPlan[],,1),0),MATCH(MarketingVariances[[#Headers],[אפר]],MarketingActual[#Headers],0))</calculatedColumnFormula>
    </tableColumn>
    <tableColumn id="6" xr3:uid="{00000000-0010-0000-0A00-000006000000}" name="מאי" totalsRowFunction="sum" dataDxfId="102" totalsRowDxfId="101">
      <calculatedColumnFormula>INDEX(MarketingPlan[],MATCH(INDEX(MarketingVariances[],ROW()-ROW(MarketingVariances[[#Headers],[מאי]]),1),INDEX(MarketingPlan[],,1),0),MATCH(MarketingVariances[[#Headers],[מאי]],MarketingPlan[#Headers],0))-INDEX(MarketingActual[],MATCH(INDEX(MarketingVariances[],ROW()-ROW(MarketingVariances[[#Headers],[מאי]]),1),INDEX(MarketingPlan[],,1),0),MATCH(MarketingVariances[[#Headers],[מאי]],MarketingActual[#Headers],0))</calculatedColumnFormula>
    </tableColumn>
    <tableColumn id="7" xr3:uid="{00000000-0010-0000-0A00-000007000000}" name="יונ" totalsRowFunction="sum" dataDxfId="100" totalsRowDxfId="99">
      <calculatedColumnFormula>INDEX(MarketingPlan[],MATCH(INDEX(MarketingVariances[],ROW()-ROW(MarketingVariances[[#Headers],[יונ]]),1),INDEX(MarketingPlan[],,1),0),MATCH(MarketingVariances[[#Headers],[יונ]],MarketingPlan[#Headers],0))-INDEX(MarketingActual[],MATCH(INDEX(MarketingVariances[],ROW()-ROW(MarketingVariances[[#Headers],[יונ]]),1),INDEX(MarketingPlan[],,1),0),MATCH(MarketingVariances[[#Headers],[יונ]],MarketingActual[#Headers],0))</calculatedColumnFormula>
    </tableColumn>
    <tableColumn id="8" xr3:uid="{00000000-0010-0000-0A00-000008000000}" name="יול" totalsRowFunction="sum" dataDxfId="98" totalsRowDxfId="97">
      <calculatedColumnFormula>INDEX(MarketingPlan[],MATCH(INDEX(MarketingVariances[],ROW()-ROW(MarketingVariances[[#Headers],[יול]]),1),INDEX(MarketingPlan[],,1),0),MATCH(MarketingVariances[[#Headers],[יול]],MarketingPlan[#Headers],0))-INDEX(MarketingActual[],MATCH(INDEX(MarketingVariances[],ROW()-ROW(MarketingVariances[[#Headers],[יול]]),1),INDEX(MarketingPlan[],,1),0),MATCH(MarketingVariances[[#Headers],[יול]],MarketingActual[#Headers],0))</calculatedColumnFormula>
    </tableColumn>
    <tableColumn id="9" xr3:uid="{00000000-0010-0000-0A00-000009000000}" name="אוג" totalsRowFunction="sum" dataDxfId="96" totalsRowDxfId="95">
      <calculatedColumnFormula>INDEX(MarketingPlan[],MATCH(INDEX(MarketingVariances[],ROW()-ROW(MarketingVariances[[#Headers],[אוג]]),1),INDEX(MarketingPlan[],,1),0),MATCH(MarketingVariances[[#Headers],[אוג]],MarketingPlan[#Headers],0))-INDEX(MarketingActual[],MATCH(INDEX(MarketingVariances[],ROW()-ROW(MarketingVariances[[#Headers],[אוג]]),1),INDEX(MarketingPlan[],,1),0),MATCH(MarketingVariances[[#Headers],[אוג]],MarketingActual[#Headers],0))</calculatedColumnFormula>
    </tableColumn>
    <tableColumn id="10" xr3:uid="{00000000-0010-0000-0A00-00000A000000}" name="ספט" totalsRowFunction="sum" dataDxfId="94" totalsRowDxfId="93">
      <calculatedColumnFormula>INDEX(MarketingPlan[],MATCH(INDEX(MarketingVariances[],ROW()-ROW(MarketingVariances[[#Headers],[ספט]]),1),INDEX(MarketingPlan[],,1),0),MATCH(MarketingVariances[[#Headers],[ספט]],MarketingPlan[#Headers],0))-INDEX(MarketingActual[],MATCH(INDEX(MarketingVariances[],ROW()-ROW(MarketingVariances[[#Headers],[ספט]]),1),INDEX(MarketingPlan[],,1),0),MATCH(MarketingVariances[[#Headers],[ספט]],MarketingActual[#Headers],0))</calculatedColumnFormula>
    </tableColumn>
    <tableColumn id="11" xr3:uid="{00000000-0010-0000-0A00-00000B000000}" name="אוק" totalsRowFunction="sum" dataDxfId="92" totalsRowDxfId="91">
      <calculatedColumnFormula>INDEX(MarketingPlan[],MATCH(INDEX(MarketingVariances[],ROW()-ROW(MarketingVariances[[#Headers],[אוק]]),1),INDEX(MarketingPlan[],,1),0),MATCH(MarketingVariances[[#Headers],[אוק]],MarketingPlan[#Headers],0))-INDEX(MarketingActual[],MATCH(INDEX(MarketingVariances[],ROW()-ROW(MarketingVariances[[#Headers],[אוק]]),1),INDEX(MarketingPlan[],,1),0),MATCH(MarketingVariances[[#Headers],[אוק]],MarketingActual[#Headers],0))</calculatedColumnFormula>
    </tableColumn>
    <tableColumn id="12" xr3:uid="{00000000-0010-0000-0A00-00000C000000}" name="נוב" totalsRowFunction="sum" dataDxfId="90" totalsRowDxfId="89">
      <calculatedColumnFormula>INDEX(MarketingPlan[],MATCH(INDEX(MarketingVariances[],ROW()-ROW(MarketingVariances[[#Headers],[נוב]]),1),INDEX(MarketingPlan[],,1),0),MATCH(MarketingVariances[[#Headers],[נוב]],MarketingPlan[#Headers],0))-INDEX(MarketingActual[],MATCH(INDEX(MarketingVariances[],ROW()-ROW(MarketingVariances[[#Headers],[נוב]]),1),INDEX(MarketingPlan[],,1),0),MATCH(MarketingVariances[[#Headers],[נוב]],MarketingActual[#Headers],0))</calculatedColumnFormula>
    </tableColumn>
    <tableColumn id="13" xr3:uid="{00000000-0010-0000-0A00-00000D000000}" name="דצמ" totalsRowFunction="sum" dataDxfId="88" totalsRowDxfId="87">
      <calculatedColumnFormula>INDEX(MarketingPlan[],MATCH(INDEX(MarketingVariances[],ROW()-ROW(MarketingVariances[[#Headers],[דצמ]]),1),INDEX(MarketingPlan[],,1),0),MATCH(MarketingVariances[[#Headers],[דצמ]],MarketingPlan[#Headers],0))-INDEX(MarketingActual[],MATCH(INDEX(MarketingVariances[],ROW()-ROW(MarketingVariances[[#Headers],[דצמ]]),1),INDEX(MarketingPlan[],,1),0),MATCH(MarketingVariances[[#Headers],[דצמ]],MarketingActual[#Headers],0))</calculatedColumnFormula>
    </tableColumn>
    <tableColumn id="14" xr3:uid="{00000000-0010-0000-0A00-00000E000000}" name="שנה" totalsRowFunction="sum" dataDxfId="86" totalsRowDxfId="85">
      <calculatedColumnFormula>SUM(MarketingVariances[[#This Row],[ינו]:[דצמ]])</calculatedColumnFormula>
    </tableColumn>
  </tableColumns>
  <tableStyleInfo name="TableStyleLight8" showFirstColumn="1" showLastColumn="1" showRowStripes="0" showColumnStripes="0"/>
  <extLst>
    <ext xmlns:x14="http://schemas.microsoft.com/office/spreadsheetml/2009/9/main" uri="{504A1905-F514-4f6f-8877-14C23A59335A}">
      <x14:table altTextSummary="השונות בעלויות השיווק בכל חודש מחושבת באופן אוטומטי בטבלה זו"/>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rainingAndTravelVariances" displayName="TrainingAndTravelVariances" ref="B30:O33" totalsRowCount="1" headerRowDxfId="84" dataDxfId="82" totalsRowDxfId="80" headerRowBorderDxfId="83" tableBorderDxfId="81" totalsRowBorderDxfId="79">
  <autoFilter ref="B30:O32" xr:uid="{00000000-0009-0000-0100-00000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B00-000001000000}" name="הדרכה/נסיעה" totalsRowLabel="סכום ביניים" dataDxfId="78" totalsRowDxfId="77"/>
    <tableColumn id="2" xr3:uid="{00000000-0010-0000-0B00-000002000000}" name="ינו" totalsRowFunction="sum" dataDxfId="76" totalsRowDxfId="75">
      <calculatedColumnFormula>INDEX(TrainingAndTravelPlan[],MATCH(INDEX(TrainingAndTravelVariances[],ROW()-ROW(TrainingAndTravelVariances[[#Headers],[ינו]]),1),INDEX(TrainingAndTravelPlan[],,1),0),MATCH(TrainingAndTravelVariances[[#Headers],[ינו]],TrainingAndTravelPlan[#Headers],0))-INDEX(TrainingAndTravelActual[],MATCH(INDEX(TrainingAndTravelVariances[],ROW()-ROW(TrainingAndTravelVariances[[#Headers],[ינו]]),1),INDEX(TrainingAndTravelPlan[],,1),0),MATCH(TrainingAndTravelVariances[[#Headers],[ינו]],TrainingAndTravelActual[#Headers],0))</calculatedColumnFormula>
    </tableColumn>
    <tableColumn id="3" xr3:uid="{00000000-0010-0000-0B00-000003000000}" name="פבר" totalsRowFunction="sum" dataDxfId="74" totalsRowDxfId="73">
      <calculatedColumnFormula>INDEX(TrainingAndTravelPlan[],MATCH(INDEX(TrainingAndTravelVariances[],ROW()-ROW(TrainingAndTravelVariances[[#Headers],[פבר]]),1),INDEX(TrainingAndTravelPlan[],,1),0),MATCH(TrainingAndTravelVariances[[#Headers],[פבר]],TrainingAndTravelPlan[#Headers],0))-INDEX(TrainingAndTravelActual[],MATCH(INDEX(TrainingAndTravelVariances[],ROW()-ROW(TrainingAndTravelVariances[[#Headers],[פבר]]),1),INDEX(TrainingAndTravelPlan[],,1),0),MATCH(TrainingAndTravelVariances[[#Headers],[פבר]],TrainingAndTravelActual[#Headers],0))</calculatedColumnFormula>
    </tableColumn>
    <tableColumn id="4" xr3:uid="{00000000-0010-0000-0B00-000004000000}" name="מרץ" totalsRowFunction="sum" dataDxfId="72" totalsRowDxfId="71">
      <calculatedColumnFormula>INDEX(TrainingAndTravelPlan[],MATCH(INDEX(TrainingAndTravelVariances[],ROW()-ROW(TrainingAndTravelVariances[[#Headers],[מרץ]]),1),INDEX(TrainingAndTravelPlan[],,1),0),MATCH(TrainingAndTravelVariances[[#Headers],[מרץ]],TrainingAndTravelPlan[#Headers],0))-INDEX(TrainingAndTravelActual[],MATCH(INDEX(TrainingAndTravelVariances[],ROW()-ROW(TrainingAndTravelVariances[[#Headers],[מרץ]]),1),INDEX(TrainingAndTravelPlan[],,1),0),MATCH(TrainingAndTravelVariances[[#Headers],[מרץ]],TrainingAndTravelActual[#Headers],0))</calculatedColumnFormula>
    </tableColumn>
    <tableColumn id="5" xr3:uid="{00000000-0010-0000-0B00-000005000000}" name="אפר" totalsRowFunction="sum" dataDxfId="70" totalsRowDxfId="69">
      <calculatedColumnFormula>INDEX(TrainingAndTravelPlan[],MATCH(INDEX(TrainingAndTravelVariances[],ROW()-ROW(TrainingAndTravelVariances[[#Headers],[אפר]]),1),INDEX(TrainingAndTravelPlan[],,1),0),MATCH(TrainingAndTravelVariances[[#Headers],[אפר]],TrainingAndTravelPlan[#Headers],0))-INDEX(TrainingAndTravelActual[],MATCH(INDEX(TrainingAndTravelVariances[],ROW()-ROW(TrainingAndTravelVariances[[#Headers],[אפר]]),1),INDEX(TrainingAndTravelPlan[],,1),0),MATCH(TrainingAndTravelVariances[[#Headers],[אפר]],TrainingAndTravelActual[#Headers],0))</calculatedColumnFormula>
    </tableColumn>
    <tableColumn id="6" xr3:uid="{00000000-0010-0000-0B00-000006000000}" name="מאי" totalsRowFunction="sum" dataDxfId="68" totalsRowDxfId="67">
      <calculatedColumnFormula>INDEX(TrainingAndTravelPlan[],MATCH(INDEX(TrainingAndTravelVariances[],ROW()-ROW(TrainingAndTravelVariances[[#Headers],[מאי]]),1),INDEX(TrainingAndTravelPlan[],,1),0),MATCH(TrainingAndTravelVariances[[#Headers],[מאי]],TrainingAndTravelPlan[#Headers],0))-INDEX(TrainingAndTravelActual[],MATCH(INDEX(TrainingAndTravelVariances[],ROW()-ROW(TrainingAndTravelVariances[[#Headers],[מאי]]),1),INDEX(TrainingAndTravelPlan[],,1),0),MATCH(TrainingAndTravelVariances[[#Headers],[מאי]],TrainingAndTravelActual[#Headers],0))</calculatedColumnFormula>
    </tableColumn>
    <tableColumn id="7" xr3:uid="{00000000-0010-0000-0B00-000007000000}" name="יונ" totalsRowFunction="sum" dataDxfId="66" totalsRowDxfId="65">
      <calculatedColumnFormula>INDEX(TrainingAndTravelPlan[],MATCH(INDEX(TrainingAndTravelVariances[],ROW()-ROW(TrainingAndTravelVariances[[#Headers],[יונ]]),1),INDEX(TrainingAndTravelPlan[],,1),0),MATCH(TrainingAndTravelVariances[[#Headers],[יונ]],TrainingAndTravelPlan[#Headers],0))-INDEX(TrainingAndTravelActual[],MATCH(INDEX(TrainingAndTravelVariances[],ROW()-ROW(TrainingAndTravelVariances[[#Headers],[יונ]]),1),INDEX(TrainingAndTravelPlan[],,1),0),MATCH(TrainingAndTravelVariances[[#Headers],[יונ]],TrainingAndTravelActual[#Headers],0))</calculatedColumnFormula>
    </tableColumn>
    <tableColumn id="8" xr3:uid="{00000000-0010-0000-0B00-000008000000}" name="יול" totalsRowFunction="sum" dataDxfId="64" totalsRowDxfId="63">
      <calculatedColumnFormula>INDEX(TrainingAndTravelPlan[],MATCH(INDEX(TrainingAndTravelVariances[],ROW()-ROW(TrainingAndTravelVariances[[#Headers],[יול]]),1),INDEX(TrainingAndTravelPlan[],,1),0),MATCH(TrainingAndTravelVariances[[#Headers],[יול]],TrainingAndTravelPlan[#Headers],0))-INDEX(TrainingAndTravelActual[],MATCH(INDEX(TrainingAndTravelVariances[],ROW()-ROW(TrainingAndTravelVariances[[#Headers],[יול]]),1),INDEX(TrainingAndTravelPlan[],,1),0),MATCH(TrainingAndTravelVariances[[#Headers],[יול]],TrainingAndTravelActual[#Headers],0))</calculatedColumnFormula>
    </tableColumn>
    <tableColumn id="9" xr3:uid="{00000000-0010-0000-0B00-000009000000}" name="אוג" totalsRowFunction="sum" dataDxfId="62" totalsRowDxfId="61">
      <calculatedColumnFormula>INDEX(TrainingAndTravelPlan[],MATCH(INDEX(TrainingAndTravelVariances[],ROW()-ROW(TrainingAndTravelVariances[[#Headers],[אוג]]),1),INDEX(TrainingAndTravelPlan[],,1),0),MATCH(TrainingAndTravelVariances[[#Headers],[אוג]],TrainingAndTravelPlan[#Headers],0))-INDEX(TrainingAndTravelActual[],MATCH(INDEX(TrainingAndTravelVariances[],ROW()-ROW(TrainingAndTravelVariances[[#Headers],[אוג]]),1),INDEX(TrainingAndTravelPlan[],,1),0),MATCH(TrainingAndTravelVariances[[#Headers],[אוג]],TrainingAndTravelActual[#Headers],0))</calculatedColumnFormula>
    </tableColumn>
    <tableColumn id="10" xr3:uid="{00000000-0010-0000-0B00-00000A000000}" name="ספט" totalsRowFunction="sum" dataDxfId="60" totalsRowDxfId="59">
      <calculatedColumnFormula>INDEX(TrainingAndTravelPlan[],MATCH(INDEX(TrainingAndTravelVariances[],ROW()-ROW(TrainingAndTravelVariances[[#Headers],[ספט]]),1),INDEX(TrainingAndTravelPlan[],,1),0),MATCH(TrainingAndTravelVariances[[#Headers],[ספט]],TrainingAndTravelPlan[#Headers],0))-INDEX(TrainingAndTravelActual[],MATCH(INDEX(TrainingAndTravelVariances[],ROW()-ROW(TrainingAndTravelVariances[[#Headers],[ספט]]),1),INDEX(TrainingAndTravelPlan[],,1),0),MATCH(TrainingAndTravelVariances[[#Headers],[ספט]],TrainingAndTravelActual[#Headers],0))</calculatedColumnFormula>
    </tableColumn>
    <tableColumn id="11" xr3:uid="{00000000-0010-0000-0B00-00000B000000}" name="אוק" totalsRowFunction="sum" dataDxfId="58" totalsRowDxfId="57">
      <calculatedColumnFormula>INDEX(TrainingAndTravelPlan[],MATCH(INDEX(TrainingAndTravelVariances[],ROW()-ROW(TrainingAndTravelVariances[[#Headers],[אוק]]),1),INDEX(TrainingAndTravelPlan[],,1),0),MATCH(TrainingAndTravelVariances[[#Headers],[אוק]],TrainingAndTravelPlan[#Headers],0))-INDEX(TrainingAndTravelActual[],MATCH(INDEX(TrainingAndTravelVariances[],ROW()-ROW(TrainingAndTravelVariances[[#Headers],[אוק]]),1),INDEX(TrainingAndTravelPlan[],,1),0),MATCH(TrainingAndTravelVariances[[#Headers],[אוק]],TrainingAndTravelActual[#Headers],0))</calculatedColumnFormula>
    </tableColumn>
    <tableColumn id="12" xr3:uid="{00000000-0010-0000-0B00-00000C000000}" name="נוב" totalsRowFunction="sum" dataDxfId="56" totalsRowDxfId="55">
      <calculatedColumnFormula>INDEX(TrainingAndTravelPlan[],MATCH(INDEX(TrainingAndTravelVariances[],ROW()-ROW(TrainingAndTravelVariances[[#Headers],[נוב]]),1),INDEX(TrainingAndTravelPlan[],,1),0),MATCH(TrainingAndTravelVariances[[#Headers],[נוב]],TrainingAndTravelPlan[#Headers],0))-INDEX(TrainingAndTravelActual[],MATCH(INDEX(TrainingAndTravelVariances[],ROW()-ROW(TrainingAndTravelVariances[[#Headers],[נוב]]),1),INDEX(TrainingAndTravelPlan[],,1),0),MATCH(TrainingAndTravelVariances[[#Headers],[נוב]],TrainingAndTravelActual[#Headers],0))</calculatedColumnFormula>
    </tableColumn>
    <tableColumn id="13" xr3:uid="{00000000-0010-0000-0B00-00000D000000}" name="דצמ" totalsRowFunction="sum" dataDxfId="54" totalsRowDxfId="53">
      <calculatedColumnFormula>INDEX(TrainingAndTravelPlan[],MATCH(INDEX(TrainingAndTravelVariances[],ROW()-ROW(TrainingAndTravelVariances[[#Headers],[דצמ]]),1),INDEX(TrainingAndTravelPlan[],,1),0),MATCH(TrainingAndTravelVariances[[#Headers],[דצמ]],TrainingAndTravelPlan[#Headers],0))-INDEX(TrainingAndTravelActual[],MATCH(INDEX(TrainingAndTravelVariances[],ROW()-ROW(TrainingAndTravelVariances[[#Headers],[דצמ]]),1),INDEX(TrainingAndTravelPlan[],,1),0),MATCH(TrainingAndTravelVariances[[#Headers],[דצמ]],TrainingAndTravelActual[#Headers],0))</calculatedColumnFormula>
    </tableColumn>
    <tableColumn id="14" xr3:uid="{00000000-0010-0000-0B00-00000E000000}" name="שנה" totalsRowFunction="sum" dataDxfId="52" totalsRowDxfId="51">
      <calculatedColumnFormula>SUM(TrainingAndTravelVariances[[#This Row],[ינו]:[דצמ]])</calculatedColumnFormula>
    </tableColumn>
  </tableColumns>
  <tableStyleInfo name="TableStyleLight8" showFirstColumn="1" showLastColumn="1" showRowStripes="0" showColumnStripes="0"/>
  <extLst>
    <ext xmlns:x14="http://schemas.microsoft.com/office/spreadsheetml/2009/9/main" uri="{504A1905-F514-4f6f-8877-14C23A59335A}">
      <x14:table altTextSummary="השונות בעלויות ההדרכה והנסיעה בכל חודש מחושבת באופן אוטומטי בטבלה זו"/>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D450248-DB77-46F5-B207-E715DE10D029}" name="TotalVariances" displayName="TotalVariances" ref="B35:O37" headerRowDxfId="50" dataDxfId="49" totalsRowDxfId="47" tableBorderDxfId="48">
  <autoFilter ref="B35:O37" xr:uid="{B407F9FC-1AB0-4A37-B2B1-EDE36CD997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4CA1B301-8171-4BDA-9269-D51F18A1CE72}" name="סכומים כוללים" totalsRowLabel="סה&quot;כ" dataDxfId="46" totalsRowDxfId="45"/>
    <tableColumn id="2" xr3:uid="{AE0C21A5-398B-42DE-950D-8AE4AD1A8551}" name="ינו" dataDxfId="44" totalsRowDxfId="43">
      <calculatedColumnFormula>SUM($C35:C$36)</calculatedColumnFormula>
    </tableColumn>
    <tableColumn id="3" xr3:uid="{A43B0B0E-F35F-4E04-8A0D-11BB7356D5F1}" name="פבר" dataDxfId="42" totalsRowDxfId="41">
      <calculatedColumnFormula>SUM($C35:D$36)</calculatedColumnFormula>
    </tableColumn>
    <tableColumn id="4" xr3:uid="{F14459A4-8E61-4E04-9A53-A7DA16CE366A}" name="מרץ" dataDxfId="40" totalsRowDxfId="39">
      <calculatedColumnFormula>SUM($C35:E$36)</calculatedColumnFormula>
    </tableColumn>
    <tableColumn id="5" xr3:uid="{1C90C974-8801-4A11-B3AF-1DC144BB0C14}" name="אפר" dataDxfId="38" totalsRowDxfId="37">
      <calculatedColumnFormula>SUM($C35:F$36)</calculatedColumnFormula>
    </tableColumn>
    <tableColumn id="6" xr3:uid="{C8E3F4F6-5F27-4CC7-9916-6D86833782C1}" name="מאי" dataDxfId="36" totalsRowDxfId="35">
      <calculatedColumnFormula>SUM($C35:G$36)</calculatedColumnFormula>
    </tableColumn>
    <tableColumn id="7" xr3:uid="{AF75D92B-7578-4087-BB78-DD5AD8165117}" name="יונ" dataDxfId="34" totalsRowDxfId="33">
      <calculatedColumnFormula>SUM($C35:H$36)</calculatedColumnFormula>
    </tableColumn>
    <tableColumn id="8" xr3:uid="{35F61ABA-09FB-4695-B0F5-A2C6B6580A2E}" name="יול" dataDxfId="32" totalsRowDxfId="31">
      <calculatedColumnFormula>SUM($C35:I$36)</calculatedColumnFormula>
    </tableColumn>
    <tableColumn id="9" xr3:uid="{59F62437-45DC-439F-945A-D0E79C444E8E}" name="אוג" dataDxfId="30" totalsRowDxfId="29">
      <calculatedColumnFormula>SUM($C35:J$36)</calculatedColumnFormula>
    </tableColumn>
    <tableColumn id="10" xr3:uid="{2BF9DCC5-B211-44A6-BD40-E91602CDA85C}" name="ספט" dataDxfId="28" totalsRowDxfId="27">
      <calculatedColumnFormula>SUM($C35:K$36)</calculatedColumnFormula>
    </tableColumn>
    <tableColumn id="11" xr3:uid="{4280684A-CD23-4103-8664-029757D0A2A2}" name="אוק" dataDxfId="26" totalsRowDxfId="25">
      <calculatedColumnFormula>SUM($C35:L$36)</calculatedColumnFormula>
    </tableColumn>
    <tableColumn id="12" xr3:uid="{07DED434-EC8F-4DAF-83E3-E350A33F2EAE}" name="נוב" dataDxfId="24" totalsRowDxfId="23">
      <calculatedColumnFormula>SUM($C35:M$36)</calculatedColumnFormula>
    </tableColumn>
    <tableColumn id="13" xr3:uid="{32BA0102-0F05-43CF-91BA-724F1FE01DAA}" name="דצמ" dataDxfId="22" totalsRowDxfId="21">
      <calculatedColumnFormula>SUM($C35:N$36)</calculatedColumnFormula>
    </tableColumn>
    <tableColumn id="14" xr3:uid="{57A0D710-AEB8-4057-928D-010058E02081}" name="שנה" totalsRowFunction="sum" dataDxfId="20" totalsRowDxfId="19"/>
  </tableColumns>
  <tableStyleInfo showFirstColumn="1" showLastColumn="0" showRowStripes="0" showColumnStripes="0"/>
  <extLst>
    <ext xmlns:x14="http://schemas.microsoft.com/office/spreadsheetml/2009/9/main" uri="{504A1905-F514-4f6f-8877-14C23A59335A}">
      <x14:table altTextSummary="שונות ההוצאות החודשית ושונות ההוצאות הכוללת מחושבות באופן אוטומטי בטבלה זו"/>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029F34C-CC7A-4C9E-8687-3CBA6E03BB7D}" name="Analysis" displayName="Analysis" ref="B5:F10" headerRowDxfId="18" dataDxfId="17" totalsRowDxfId="15" tableBorderDxfId="16">
  <autoFilter ref="B5:F10" xr:uid="{FF30FBEE-D7F5-45FA-A994-455B735EFD11}">
    <filterColumn colId="0" hiddenButton="1"/>
    <filterColumn colId="1" hiddenButton="1"/>
    <filterColumn colId="2" hiddenButton="1"/>
    <filterColumn colId="3" hiddenButton="1"/>
    <filterColumn colId="4" hiddenButton="1"/>
  </autoFilter>
  <tableColumns count="5">
    <tableColumn id="1" xr3:uid="{85D5DD3A-2DA8-4CC6-8C75-2348A5B1DCE5}" name="קטגוריית הוצאות" totalsRowLabel="סה&quot;כ" dataDxfId="14" totalsRowDxfId="13"/>
    <tableColumn id="2" xr3:uid="{71038352-BC76-49DD-9F6C-B394E5F033ED}" name="הוצאות מתוכננות" dataDxfId="12" totalsRowDxfId="11"/>
    <tableColumn id="3" xr3:uid="{19ED3EBC-BC10-47F6-9800-62129A32BC8E}" name="הוצאות בפועל" dataDxfId="10" totalsRowDxfId="9"/>
    <tableColumn id="4" xr3:uid="{E8D5E1DD-7CB1-4A1A-8F42-EFBF70790FE7}" name="שונות הוצאות" dataDxfId="8" totalsRowDxfId="7">
      <calculatedColumnFormula>C6-D6</calculatedColumnFormula>
    </tableColumn>
    <tableColumn id="5" xr3:uid="{47E1881E-12A2-4F0E-8364-B79F2DC5D0B1}" name="אחוז שונות" totalsRowFunction="sum" dataDxfId="6" totalsRowDxfId="5">
      <calculatedColumnFormula>E6/C6</calculatedColumnFormula>
    </tableColumn>
  </tableColumns>
  <tableStyleInfo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arketingPlan" displayName="MarketingPlan" ref="B21:O28" totalsRowCount="1" headerRowDxfId="490" dataDxfId="488" totalsRowDxfId="486" headerRowBorderDxfId="489" tableBorderDxfId="487" totalsRowBorderDxfId="485">
  <autoFilter ref="B21:O2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100-000001000000}" name="עלויות שיווק" totalsRowLabel="סכום ביניים" dataDxfId="484" totalsRowDxfId="483"/>
    <tableColumn id="2" xr3:uid="{00000000-0010-0000-0100-000002000000}" name="ינו" totalsRowFunction="sum" dataDxfId="482" totalsRowDxfId="481"/>
    <tableColumn id="3" xr3:uid="{00000000-0010-0000-0100-000003000000}" name="פבר" totalsRowFunction="sum" dataDxfId="480" totalsRowDxfId="479"/>
    <tableColumn id="4" xr3:uid="{00000000-0010-0000-0100-000004000000}" name="מרץ" totalsRowFunction="sum" dataDxfId="478" totalsRowDxfId="477"/>
    <tableColumn id="5" xr3:uid="{00000000-0010-0000-0100-000005000000}" name="אפר" totalsRowFunction="sum" dataDxfId="476" totalsRowDxfId="475"/>
    <tableColumn id="6" xr3:uid="{00000000-0010-0000-0100-000006000000}" name="מאי" totalsRowFunction="sum" dataDxfId="474" totalsRowDxfId="473"/>
    <tableColumn id="7" xr3:uid="{00000000-0010-0000-0100-000007000000}" name="יונ" totalsRowFunction="sum" dataDxfId="472" totalsRowDxfId="471"/>
    <tableColumn id="8" xr3:uid="{00000000-0010-0000-0100-000008000000}" name="יול" totalsRowFunction="sum" dataDxfId="470" totalsRowDxfId="469"/>
    <tableColumn id="9" xr3:uid="{00000000-0010-0000-0100-000009000000}" name="אוג" totalsRowFunction="sum" dataDxfId="468" totalsRowDxfId="467"/>
    <tableColumn id="10" xr3:uid="{00000000-0010-0000-0100-00000A000000}" name="ספט" totalsRowFunction="sum" dataDxfId="466" totalsRowDxfId="465"/>
    <tableColumn id="11" xr3:uid="{00000000-0010-0000-0100-00000B000000}" name="אוק" totalsRowFunction="sum" dataDxfId="464" totalsRowDxfId="463"/>
    <tableColumn id="12" xr3:uid="{00000000-0010-0000-0100-00000C000000}" name="נוב" totalsRowFunction="sum" dataDxfId="462" totalsRowDxfId="461"/>
    <tableColumn id="13" xr3:uid="{00000000-0010-0000-0100-00000D000000}" name="דצמ" totalsRowFunction="sum" dataDxfId="460" totalsRowDxfId="459"/>
    <tableColumn id="14" xr3:uid="{00000000-0010-0000-0100-00000E000000}" name="שנה" totalsRowFunction="sum" dataDxfId="458" totalsRowDxfId="457">
      <calculatedColumnFormula>SUM(C22:N22)</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הזן עלויות שיווק חודשיות מתוכננות בטבלה זו. הסכום מחושב באופן אוטומטי בסוף"/>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rainingAndTravelPlan" displayName="TrainingAndTravelPlan" ref="B30:O33" totalsRowCount="1" headerRowDxfId="456" dataDxfId="454" totalsRowDxfId="452" headerRowBorderDxfId="455" tableBorderDxfId="453" totalsRowBorderDxfId="451">
  <autoFilter ref="B30:O32"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הדרכה/נסיעה" totalsRowLabel="סכום ביניים" dataDxfId="450" totalsRowDxfId="449"/>
    <tableColumn id="2" xr3:uid="{00000000-0010-0000-0200-000002000000}" name="ינו" totalsRowFunction="sum" dataDxfId="448" totalsRowDxfId="447"/>
    <tableColumn id="3" xr3:uid="{00000000-0010-0000-0200-000003000000}" name="פבר" totalsRowFunction="sum" dataDxfId="446" totalsRowDxfId="445"/>
    <tableColumn id="4" xr3:uid="{00000000-0010-0000-0200-000004000000}" name="מרץ" totalsRowFunction="sum" dataDxfId="444" totalsRowDxfId="443"/>
    <tableColumn id="5" xr3:uid="{00000000-0010-0000-0200-000005000000}" name="אפר" totalsRowFunction="sum" dataDxfId="442" totalsRowDxfId="441"/>
    <tableColumn id="6" xr3:uid="{00000000-0010-0000-0200-000006000000}" name="מאי" totalsRowFunction="sum" dataDxfId="440" totalsRowDxfId="439"/>
    <tableColumn id="7" xr3:uid="{00000000-0010-0000-0200-000007000000}" name="יונ" totalsRowFunction="sum" dataDxfId="438" totalsRowDxfId="437"/>
    <tableColumn id="8" xr3:uid="{00000000-0010-0000-0200-000008000000}" name="יול" totalsRowFunction="sum" dataDxfId="436" totalsRowDxfId="435"/>
    <tableColumn id="9" xr3:uid="{00000000-0010-0000-0200-000009000000}" name="אוג" totalsRowFunction="sum" dataDxfId="434" totalsRowDxfId="433"/>
    <tableColumn id="10" xr3:uid="{00000000-0010-0000-0200-00000A000000}" name="ספט" totalsRowFunction="sum" dataDxfId="432" totalsRowDxfId="431"/>
    <tableColumn id="11" xr3:uid="{00000000-0010-0000-0200-00000B000000}" name="אוק" totalsRowFunction="sum" dataDxfId="430" totalsRowDxfId="429"/>
    <tableColumn id="12" xr3:uid="{00000000-0010-0000-0200-00000C000000}" name="נוב" totalsRowFunction="sum" dataDxfId="428" totalsRowDxfId="427"/>
    <tableColumn id="13" xr3:uid="{00000000-0010-0000-0200-00000D000000}" name="דצמ" totalsRowFunction="sum" dataDxfId="426" totalsRowDxfId="425"/>
    <tableColumn id="14" xr3:uid="{00000000-0010-0000-0200-00000E000000}" name="שנה" totalsRowFunction="sum" dataDxfId="424" totalsRowDxfId="423">
      <calculatedColumnFormula>SUM(C31:N31)</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הזן עלויות הדרכה ונסיעה חודשיות מתוכננות בטבלה זו. הסכום מחושב באופן אוטומטי בסוף"/>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EmployeePlan" displayName="EmployeePlan" ref="B5:O8" totalsRowCount="1" headerRowDxfId="422" dataDxfId="420" totalsRowDxfId="418" headerRowBorderDxfId="421" tableBorderDxfId="419" totalsRowBorderDxfId="417">
  <autoFilter ref="B5:O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עלויות עובדים" totalsRowLabel="סכום ביניים" dataDxfId="416" totalsRowDxfId="415"/>
    <tableColumn id="2" xr3:uid="{00000000-0010-0000-0300-000002000000}" name="ינו" totalsRowFunction="sum" dataDxfId="414" totalsRowDxfId="413">
      <calculatedColumnFormula>C5*0.27</calculatedColumnFormula>
    </tableColumn>
    <tableColumn id="3" xr3:uid="{00000000-0010-0000-0300-000003000000}" name="פבר" totalsRowFunction="sum" dataDxfId="412" totalsRowDxfId="411">
      <calculatedColumnFormula>D5*0.27</calculatedColumnFormula>
    </tableColumn>
    <tableColumn id="4" xr3:uid="{00000000-0010-0000-0300-000004000000}" name="מרץ" totalsRowFunction="sum" dataDxfId="410" totalsRowDxfId="409">
      <calculatedColumnFormula>E5*0.27</calculatedColumnFormula>
    </tableColumn>
    <tableColumn id="5" xr3:uid="{00000000-0010-0000-0300-000005000000}" name="אפר" totalsRowFunction="sum" dataDxfId="408" totalsRowDxfId="407">
      <calculatedColumnFormula>F5*0.27</calculatedColumnFormula>
    </tableColumn>
    <tableColumn id="6" xr3:uid="{00000000-0010-0000-0300-000006000000}" name="מאי" totalsRowFunction="sum" dataDxfId="406" totalsRowDxfId="405">
      <calculatedColumnFormula>G5*0.27</calculatedColumnFormula>
    </tableColumn>
    <tableColumn id="7" xr3:uid="{00000000-0010-0000-0300-000007000000}" name="יונ" totalsRowFunction="sum" dataDxfId="404" totalsRowDxfId="403">
      <calculatedColumnFormula>H5*0.27</calculatedColumnFormula>
    </tableColumn>
    <tableColumn id="8" xr3:uid="{00000000-0010-0000-0300-000008000000}" name="יול" totalsRowFunction="sum" dataDxfId="402" totalsRowDxfId="401">
      <calculatedColumnFormula>I5*0.27</calculatedColumnFormula>
    </tableColumn>
    <tableColumn id="9" xr3:uid="{00000000-0010-0000-0300-000009000000}" name="אוג" totalsRowFunction="sum" dataDxfId="400" totalsRowDxfId="399">
      <calculatedColumnFormula>J5*0.27</calculatedColumnFormula>
    </tableColumn>
    <tableColumn id="10" xr3:uid="{00000000-0010-0000-0300-00000A000000}" name="ספט" totalsRowFunction="sum" dataDxfId="398" totalsRowDxfId="397">
      <calculatedColumnFormula>K5*0.27</calculatedColumnFormula>
    </tableColumn>
    <tableColumn id="11" xr3:uid="{00000000-0010-0000-0300-00000B000000}" name="אוק" totalsRowFunction="sum" dataDxfId="396" totalsRowDxfId="395">
      <calculatedColumnFormula>L5*0.27</calculatedColumnFormula>
    </tableColumn>
    <tableColumn id="12" xr3:uid="{00000000-0010-0000-0300-00000C000000}" name="נוב" totalsRowFunction="sum" dataDxfId="394" totalsRowDxfId="393">
      <calculatedColumnFormula>M5*0.27</calculatedColumnFormula>
    </tableColumn>
    <tableColumn id="13" xr3:uid="{00000000-0010-0000-0300-00000D000000}" name="דצמ" totalsRowFunction="sum" dataDxfId="392" totalsRowDxfId="391">
      <calculatedColumnFormula>N5*0.27</calculatedColumnFormula>
    </tableColumn>
    <tableColumn id="14" xr3:uid="{00000000-0010-0000-0300-00000E000000}" name="שנה" totalsRowFunction="sum" dataDxfId="390" totalsRowDxfId="389">
      <calculatedColumnFormula>SUM(C6:N6)</calculatedColumnFormula>
    </tableColumn>
  </tableColumns>
  <tableStyleInfo name="TableStyleMedium1" showFirstColumn="1" showLastColumn="1" showRowStripes="1" showColumnStripes="0"/>
  <extLst>
    <ext xmlns:x14="http://schemas.microsoft.com/office/spreadsheetml/2009/9/main" uri="{504A1905-F514-4f6f-8877-14C23A59335A}">
      <x14:table altTextSummary="הזן עלויות עובדים חודשיות מתוכננות בטבלה זו. הסכום מחושב באופן אוטומטי בסוף"/>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1654C0-A6E2-4402-ADF4-C02B29E915BD}" name="PlannedTotal" displayName="PlannedTotal" ref="B35:O37" headerRowDxfId="388" dataDxfId="386" totalsRowDxfId="384" headerRowBorderDxfId="387" tableBorderDxfId="385" totalsRowBorderDxfId="383">
  <autoFilter ref="B35:O37" xr:uid="{630CA614-6744-438B-8D74-F7C59585F1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7DAEAEE0-3B16-417F-B274-1F203D9CFCF2}" name="סכומים כוללים" totalsRowLabel="סה&quot;כ" dataDxfId="382" totalsRowDxfId="381"/>
    <tableColumn id="2" xr3:uid="{3CBCAAC6-5850-43CE-8A4B-7299FADFEA94}" name="ינו" dataDxfId="380" totalsRowDxfId="379">
      <calculatedColumnFormula>SUM($C35:C$36)</calculatedColumnFormula>
    </tableColumn>
    <tableColumn id="3" xr3:uid="{E78EAAAB-F732-4079-94F1-D17531764B41}" name="פבר" dataDxfId="378" totalsRowDxfId="377">
      <calculatedColumnFormula>SUM($C35:D$36)</calculatedColumnFormula>
    </tableColumn>
    <tableColumn id="4" xr3:uid="{7E178853-B334-4E02-A0B5-9E8AC39D6929}" name="מרץ" dataDxfId="376" totalsRowDxfId="375">
      <calculatedColumnFormula>SUM($C35:E$36)</calculatedColumnFormula>
    </tableColumn>
    <tableColumn id="5" xr3:uid="{901BCAA1-7C45-46E6-9DAA-C055B5CC4D9E}" name="אפר" dataDxfId="374" totalsRowDxfId="373">
      <calculatedColumnFormula>SUM($C35:F$36)</calculatedColumnFormula>
    </tableColumn>
    <tableColumn id="6" xr3:uid="{FDC62F5A-FCA8-49DA-AFE4-FBDA22CB588C}" name="מאי" dataDxfId="372" totalsRowDxfId="371">
      <calculatedColumnFormula>SUM($C35:G$36)</calculatedColumnFormula>
    </tableColumn>
    <tableColumn id="7" xr3:uid="{6B7E4F62-6387-4545-9593-FCFE8EB0E87B}" name="יונ" dataDxfId="370" totalsRowDxfId="369">
      <calculatedColumnFormula>SUM($C35:H$36)</calculatedColumnFormula>
    </tableColumn>
    <tableColumn id="8" xr3:uid="{29C96D76-82C3-4C86-A866-135D2B5F6766}" name="יול" dataDxfId="368" totalsRowDxfId="367">
      <calculatedColumnFormula>SUM($C35:I$36)</calculatedColumnFormula>
    </tableColumn>
    <tableColumn id="9" xr3:uid="{8EAF7A8A-BCFD-4A07-ADFE-7B3A8A367BB3}" name="אוג" dataDxfId="366" totalsRowDxfId="365">
      <calculatedColumnFormula>SUM($C35:J$36)</calculatedColumnFormula>
    </tableColumn>
    <tableColumn id="10" xr3:uid="{F40CD844-EFB4-4B82-8FEA-F130D1DDE9B6}" name="ספט" dataDxfId="364" totalsRowDxfId="363">
      <calculatedColumnFormula>SUM($C35:K$36)</calculatedColumnFormula>
    </tableColumn>
    <tableColumn id="11" xr3:uid="{42E3BDAF-1274-4A42-93E1-A70D8EFF4D76}" name="אוק" dataDxfId="362" totalsRowDxfId="361">
      <calculatedColumnFormula>SUM($C35:L$36)</calculatedColumnFormula>
    </tableColumn>
    <tableColumn id="12" xr3:uid="{4F7ADDB3-3705-4D5F-B56D-EBBC8E7DFAFB}" name="נוב" dataDxfId="360" totalsRowDxfId="359">
      <calculatedColumnFormula>SUM($C35:M$36)</calculatedColumnFormula>
    </tableColumn>
    <tableColumn id="13" xr3:uid="{56789314-1137-4ED4-BA2B-969187ADECB2}" name="דצמ" dataDxfId="358" totalsRowDxfId="357">
      <calculatedColumnFormula>SUM($C35:N$36)</calculatedColumnFormula>
    </tableColumn>
    <tableColumn id="14" xr3:uid="{284F34B8-8D32-4E44-96FD-25CE69A931D2}" name="שנה" totalsRowFunction="sum" dataDxfId="356" totalsRowDxfId="355"/>
  </tableColumns>
  <tableStyleInfo showFirstColumn="1" showLastColumn="0" showRowStripes="0" showColumnStripes="0"/>
  <extLst>
    <ext xmlns:x14="http://schemas.microsoft.com/office/spreadsheetml/2009/9/main" uri="{504A1905-F514-4f6f-8877-14C23A59335A}">
      <x14:table altTextSummary="ההוצאות המתוכננות החודשיות והכוללות מחושבות באופן אוטומטי בטבלה זו"/>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fficeActual" displayName="OfficeActual" ref="B10:O19" totalsRowCount="1" headerRowDxfId="354" dataDxfId="352" totalsRowDxfId="350" headerRowBorderDxfId="353" tableBorderDxfId="351" totalsRowBorderDxfId="349">
  <autoFilter ref="B10:O18"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עלויות משרדיות" totalsRowLabel="סכום ביניים" dataDxfId="348" totalsRowDxfId="347"/>
    <tableColumn id="2" xr3:uid="{00000000-0010-0000-0400-000002000000}" name="ינו" totalsRowFunction="sum" dataDxfId="346" totalsRowDxfId="345"/>
    <tableColumn id="3" xr3:uid="{00000000-0010-0000-0400-000003000000}" name="פבר" totalsRowFunction="sum" dataDxfId="344" totalsRowDxfId="343"/>
    <tableColumn id="4" xr3:uid="{00000000-0010-0000-0400-000004000000}" name="מרץ" totalsRowFunction="sum" dataDxfId="342" totalsRowDxfId="341"/>
    <tableColumn id="5" xr3:uid="{00000000-0010-0000-0400-000005000000}" name="אפר" totalsRowFunction="sum" dataDxfId="340" totalsRowDxfId="339"/>
    <tableColumn id="6" xr3:uid="{00000000-0010-0000-0400-000006000000}" name="מאי" totalsRowFunction="sum" dataDxfId="338" totalsRowDxfId="337"/>
    <tableColumn id="7" xr3:uid="{00000000-0010-0000-0400-000007000000}" name="יונ" totalsRowFunction="sum" dataDxfId="336" totalsRowDxfId="335"/>
    <tableColumn id="8" xr3:uid="{00000000-0010-0000-0400-000008000000}" name="יול" totalsRowFunction="sum" dataDxfId="334" totalsRowDxfId="333"/>
    <tableColumn id="9" xr3:uid="{00000000-0010-0000-0400-000009000000}" name="אוג" totalsRowFunction="sum" dataDxfId="332" totalsRowDxfId="331"/>
    <tableColumn id="10" xr3:uid="{00000000-0010-0000-0400-00000A000000}" name="ספט" totalsRowFunction="sum" dataDxfId="330" totalsRowDxfId="329"/>
    <tableColumn id="11" xr3:uid="{00000000-0010-0000-0400-00000B000000}" name="אוק" totalsRowFunction="sum" dataDxfId="328" totalsRowDxfId="327"/>
    <tableColumn id="12" xr3:uid="{00000000-0010-0000-0400-00000C000000}" name="נוב" totalsRowFunction="sum" dataDxfId="326" totalsRowDxfId="325"/>
    <tableColumn id="13" xr3:uid="{00000000-0010-0000-0400-00000D000000}" name="דצמ" totalsRowFunction="sum" dataDxfId="324" totalsRowDxfId="323"/>
    <tableColumn id="14" xr3:uid="{00000000-0010-0000-0400-00000E000000}" name="שנה" totalsRowFunction="sum" dataDxfId="322" totalsRowDxfId="321">
      <calculatedColumnFormula>SUM(C11:N11)</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הזן עלויות משרד חודשיות בפועל בטבלה זו. הסכום מחושב באופן אוטומטי בסוף"/>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MarketingActual" displayName="MarketingActual" ref="B21:O28" totalsRowCount="1" headerRowDxfId="320" dataDxfId="318" totalsRowDxfId="316" headerRowBorderDxfId="319" tableBorderDxfId="317" totalsRowBorderDxfId="315">
  <autoFilter ref="B21:O27"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500-000001000000}" name="עלויות שיווק" totalsRowLabel="סכום ביניים" dataDxfId="314" totalsRowDxfId="313"/>
    <tableColumn id="2" xr3:uid="{00000000-0010-0000-0500-000002000000}" name="ינו" totalsRowFunction="sum" dataDxfId="312" totalsRowDxfId="311"/>
    <tableColumn id="3" xr3:uid="{00000000-0010-0000-0500-000003000000}" name="פבר" totalsRowFunction="sum" dataDxfId="310" totalsRowDxfId="309"/>
    <tableColumn id="4" xr3:uid="{00000000-0010-0000-0500-000004000000}" name="מרץ" totalsRowFunction="sum" dataDxfId="308" totalsRowDxfId="307"/>
    <tableColumn id="5" xr3:uid="{00000000-0010-0000-0500-000005000000}" name="אפר" totalsRowFunction="sum" dataDxfId="306" totalsRowDxfId="305"/>
    <tableColumn id="6" xr3:uid="{00000000-0010-0000-0500-000006000000}" name="מאי" totalsRowFunction="sum" dataDxfId="304" totalsRowDxfId="303"/>
    <tableColumn id="7" xr3:uid="{00000000-0010-0000-0500-000007000000}" name="יונ" totalsRowFunction="sum" dataDxfId="302" totalsRowDxfId="301"/>
    <tableColumn id="8" xr3:uid="{00000000-0010-0000-0500-000008000000}" name="יול" totalsRowFunction="sum" dataDxfId="300" totalsRowDxfId="299"/>
    <tableColumn id="9" xr3:uid="{00000000-0010-0000-0500-000009000000}" name="אוג" totalsRowFunction="sum" dataDxfId="298" totalsRowDxfId="297"/>
    <tableColumn id="10" xr3:uid="{00000000-0010-0000-0500-00000A000000}" name="ספט" totalsRowFunction="sum" dataDxfId="296" totalsRowDxfId="295"/>
    <tableColumn id="11" xr3:uid="{00000000-0010-0000-0500-00000B000000}" name="אוק" totalsRowFunction="sum" dataDxfId="294" totalsRowDxfId="293"/>
    <tableColumn id="12" xr3:uid="{00000000-0010-0000-0500-00000C000000}" name="נוב" totalsRowFunction="sum" dataDxfId="292" totalsRowDxfId="291"/>
    <tableColumn id="13" xr3:uid="{00000000-0010-0000-0500-00000D000000}" name="דצמ" totalsRowFunction="sum" dataDxfId="290" totalsRowDxfId="289"/>
    <tableColumn id="14" xr3:uid="{00000000-0010-0000-0500-00000E000000}" name="שנה" totalsRowFunction="sum" dataDxfId="288" totalsRowDxfId="287">
      <calculatedColumnFormula>SUM(C22:N22)</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הזן עלויות שיווק חודשיות בפועל בטבלה זו. הסכום מחושב באופן אוטומטי בסוף"/>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rainingAndTravelActual" displayName="TrainingAndTravelActual" ref="B30:O33" totalsRowCount="1" headerRowDxfId="286" dataDxfId="284" totalsRowDxfId="282" headerRowBorderDxfId="285" tableBorderDxfId="283" totalsRowBorderDxfId="281">
  <autoFilter ref="B30:O32"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600-000001000000}" name="הדרכה/נסיעה" totalsRowLabel="סכום ביניים" dataDxfId="280" totalsRowDxfId="279"/>
    <tableColumn id="2" xr3:uid="{00000000-0010-0000-0600-000002000000}" name="ינו" totalsRowFunction="sum" dataDxfId="278" totalsRowDxfId="277"/>
    <tableColumn id="3" xr3:uid="{00000000-0010-0000-0600-000003000000}" name="פבר" totalsRowFunction="sum" dataDxfId="276" totalsRowDxfId="275"/>
    <tableColumn id="4" xr3:uid="{00000000-0010-0000-0600-000004000000}" name="מרץ" totalsRowFunction="sum" dataDxfId="274" totalsRowDxfId="273"/>
    <tableColumn id="5" xr3:uid="{00000000-0010-0000-0600-000005000000}" name="אפר" totalsRowFunction="sum" dataDxfId="272" totalsRowDxfId="271"/>
    <tableColumn id="6" xr3:uid="{00000000-0010-0000-0600-000006000000}" name="מאי" totalsRowFunction="sum" dataDxfId="270" totalsRowDxfId="269"/>
    <tableColumn id="7" xr3:uid="{00000000-0010-0000-0600-000007000000}" name="יונ" totalsRowFunction="sum" dataDxfId="268" totalsRowDxfId="267"/>
    <tableColumn id="8" xr3:uid="{00000000-0010-0000-0600-000008000000}" name="יול" totalsRowFunction="sum" dataDxfId="266" totalsRowDxfId="265"/>
    <tableColumn id="9" xr3:uid="{00000000-0010-0000-0600-000009000000}" name="אוג" totalsRowFunction="sum" dataDxfId="264" totalsRowDxfId="263"/>
    <tableColumn id="10" xr3:uid="{00000000-0010-0000-0600-00000A000000}" name="ספט" totalsRowFunction="sum" dataDxfId="262" totalsRowDxfId="261"/>
    <tableColumn id="11" xr3:uid="{00000000-0010-0000-0600-00000B000000}" name="אוק" totalsRowFunction="sum" dataDxfId="260" totalsRowDxfId="259"/>
    <tableColumn id="12" xr3:uid="{00000000-0010-0000-0600-00000C000000}" name="נוב" totalsRowFunction="sum" dataDxfId="258" totalsRowDxfId="257"/>
    <tableColumn id="13" xr3:uid="{00000000-0010-0000-0600-00000D000000}" name="דצמ" totalsRowFunction="sum" dataDxfId="256" totalsRowDxfId="255"/>
    <tableColumn id="14" xr3:uid="{00000000-0010-0000-0600-00000E000000}" name="שנה" totalsRowFunction="sum" dataDxfId="254" totalsRowDxfId="253">
      <calculatedColumnFormula>SUM(C31:N31)</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הזן עלויות הדרכה ונסיעה חודשיות בפועל בטבלה זו. הסכום מחושב באופן אוטומטי בסוף"/>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mployeeActual" displayName="EmployeeActual" ref="B5:O8" totalsRowCount="1" headerRowDxfId="252" dataDxfId="250" totalsRowDxfId="248" headerRowBorderDxfId="251" tableBorderDxfId="249" totalsRowBorderDxfId="247">
  <autoFilter ref="B5:O7"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700-000001000000}" name="עלויות עובדים" totalsRowLabel="סכום ביניים" dataDxfId="246" totalsRowDxfId="245"/>
    <tableColumn id="2" xr3:uid="{00000000-0010-0000-0700-000002000000}" name="ינו" totalsRowFunction="sum" dataDxfId="244" totalsRowDxfId="243">
      <calculatedColumnFormula>C5*0.27</calculatedColumnFormula>
    </tableColumn>
    <tableColumn id="3" xr3:uid="{00000000-0010-0000-0700-000003000000}" name="פבר" totalsRowFunction="sum" dataDxfId="242" totalsRowDxfId="241">
      <calculatedColumnFormula>D5*0.27</calculatedColumnFormula>
    </tableColumn>
    <tableColumn id="4" xr3:uid="{00000000-0010-0000-0700-000004000000}" name="מרץ" totalsRowFunction="sum" dataDxfId="240" totalsRowDxfId="239">
      <calculatedColumnFormula>E5*0.27</calculatedColumnFormula>
    </tableColumn>
    <tableColumn id="5" xr3:uid="{00000000-0010-0000-0700-000005000000}" name="אפר" totalsRowFunction="sum" dataDxfId="238" totalsRowDxfId="237">
      <calculatedColumnFormula>F5*0.27</calculatedColumnFormula>
    </tableColumn>
    <tableColumn id="6" xr3:uid="{00000000-0010-0000-0700-000006000000}" name="מאי" totalsRowFunction="sum" dataDxfId="236" totalsRowDxfId="235">
      <calculatedColumnFormula>G5*0.27</calculatedColumnFormula>
    </tableColumn>
    <tableColumn id="7" xr3:uid="{00000000-0010-0000-0700-000007000000}" name="יונ" totalsRowFunction="sum" dataDxfId="234" totalsRowDxfId="233">
      <calculatedColumnFormula>H5*0.27</calculatedColumnFormula>
    </tableColumn>
    <tableColumn id="8" xr3:uid="{00000000-0010-0000-0700-000008000000}" name="יול" totalsRowFunction="sum" dataDxfId="232" totalsRowDxfId="231"/>
    <tableColumn id="9" xr3:uid="{00000000-0010-0000-0700-000009000000}" name="אוג" totalsRowFunction="sum" dataDxfId="230" totalsRowDxfId="229"/>
    <tableColumn id="10" xr3:uid="{00000000-0010-0000-0700-00000A000000}" name="ספט" totalsRowFunction="sum" dataDxfId="228" totalsRowDxfId="227"/>
    <tableColumn id="11" xr3:uid="{00000000-0010-0000-0700-00000B000000}" name="אוק" totalsRowFunction="sum" dataDxfId="226" totalsRowDxfId="225"/>
    <tableColumn id="12" xr3:uid="{00000000-0010-0000-0700-00000C000000}" name="נוב" totalsRowFunction="sum" dataDxfId="224" totalsRowDxfId="223"/>
    <tableColumn id="13" xr3:uid="{00000000-0010-0000-0700-00000D000000}" name="דצמ" totalsRowFunction="sum" dataDxfId="222" totalsRowDxfId="221"/>
    <tableColumn id="14" xr3:uid="{00000000-0010-0000-0700-00000E000000}" name="שנה" totalsRowFunction="sum" dataDxfId="220" totalsRowDxfId="219">
      <calculatedColumnFormula>SUM(C6:N6)</calculatedColumnFormula>
    </tableColumn>
  </tableColumns>
  <tableStyleInfo name="TableStyleMedium1" showFirstColumn="1" showLastColumn="1" showRowStripes="0" showColumnStripes="0"/>
  <extLst>
    <ext xmlns:x14="http://schemas.microsoft.com/office/spreadsheetml/2009/9/main" uri="{504A1905-F514-4f6f-8877-14C23A59335A}">
      <x14:table altTextSummary="הזן עלויות עובדים חודשיות בפועל בטבלה זו. הסכום מחושב באופן אוטומטי בסוף"/>
    </ext>
  </extLst>
</table>
</file>

<file path=xl/theme/theme1.xml><?xml version="1.0" encoding="utf-8"?>
<a:theme xmlns:a="http://schemas.openxmlformats.org/drawingml/2006/main" name="Office Theme">
  <a:themeElements>
    <a:clrScheme name="Custom 25">
      <a:dk1>
        <a:sysClr val="windowText" lastClr="000000"/>
      </a:dk1>
      <a:lt1>
        <a:srgbClr val="FFFFFF"/>
      </a:lt1>
      <a:dk2>
        <a:srgbClr val="2F4B83"/>
      </a:dk2>
      <a:lt2>
        <a:srgbClr val="F2F2F2"/>
      </a:lt2>
      <a:accent1>
        <a:srgbClr val="CC1D10"/>
      </a:accent1>
      <a:accent2>
        <a:srgbClr val="357B37"/>
      </a:accent2>
      <a:accent3>
        <a:srgbClr val="34A0DC"/>
      </a:accent3>
      <a:accent4>
        <a:srgbClr val="B71F66"/>
      </a:accent4>
      <a:accent5>
        <a:srgbClr val="255D77"/>
      </a:accent5>
      <a:accent6>
        <a:srgbClr val="EF4538"/>
      </a:accent6>
      <a:hlink>
        <a:srgbClr val="7DC6F3"/>
      </a:hlink>
      <a:folHlink>
        <a:srgbClr val="7DC6F3"/>
      </a:folHlink>
    </a:clrScheme>
    <a:fontScheme name="Custom 18">
      <a:majorFont>
        <a:latin typeface="Franklin Gothic Book"/>
        <a:ea typeface=""/>
        <a:cs typeface=""/>
      </a:majorFont>
      <a:minorFont>
        <a:latin typeface="Microsoft Sans Serif"/>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5652D-94A4-43B5-AFA7-1A6439101CE6}">
  <sheetPr>
    <tabColor theme="3" tint="-0.249977111117893"/>
  </sheetPr>
  <dimension ref="A1:B8"/>
  <sheetViews>
    <sheetView rightToLeft="1" workbookViewId="0"/>
  </sheetViews>
  <sheetFormatPr defaultColWidth="9" defaultRowHeight="11.25" x14ac:dyDescent="0.15"/>
  <cols>
    <col min="1" max="1" width="2.7109375" customWidth="1"/>
    <col min="2" max="2" width="75.42578125" customWidth="1"/>
    <col min="3" max="3" width="2.7109375" customWidth="1"/>
  </cols>
  <sheetData>
    <row r="1" spans="1:2" s="68" customFormat="1" ht="30" customHeight="1" x14ac:dyDescent="0.15">
      <c r="A1" s="67"/>
      <c r="B1" s="1" t="s">
        <v>0</v>
      </c>
    </row>
    <row r="2" spans="1:2" ht="36.75" customHeight="1" x14ac:dyDescent="0.15">
      <c r="A2" s="69"/>
      <c r="B2" s="2" t="s">
        <v>1</v>
      </c>
    </row>
    <row r="3" spans="1:2" ht="30" customHeight="1" x14ac:dyDescent="0.15">
      <c r="A3" s="69"/>
      <c r="B3" s="2" t="s">
        <v>2</v>
      </c>
    </row>
    <row r="4" spans="1:2" ht="40.5" customHeight="1" x14ac:dyDescent="0.15">
      <c r="A4" s="69"/>
      <c r="B4" s="2" t="s">
        <v>3</v>
      </c>
    </row>
    <row r="5" spans="1:2" ht="36" customHeight="1" x14ac:dyDescent="0.15">
      <c r="A5" s="69"/>
      <c r="B5" s="2" t="s">
        <v>4</v>
      </c>
    </row>
    <row r="6" spans="1:2" ht="36" customHeight="1" x14ac:dyDescent="0.15">
      <c r="A6" s="69"/>
      <c r="B6" s="3" t="s">
        <v>5</v>
      </c>
    </row>
    <row r="7" spans="1:2" ht="53.25" customHeight="1" x14ac:dyDescent="0.15">
      <c r="A7" s="69"/>
      <c r="B7" s="2" t="s">
        <v>6</v>
      </c>
    </row>
    <row r="8" spans="1:2" ht="40.5" customHeight="1" x14ac:dyDescent="0.2">
      <c r="A8" s="69"/>
      <c r="B8" s="4" t="s">
        <v>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pageSetUpPr autoPageBreaks="0"/>
  </sheetPr>
  <dimension ref="A1:T38"/>
  <sheetViews>
    <sheetView showGridLines="0" rightToLeft="1" tabSelected="1" topLeftCell="A3" zoomScaleNormal="100" workbookViewId="0"/>
  </sheetViews>
  <sheetFormatPr defaultColWidth="9.140625" defaultRowHeight="21" customHeight="1" x14ac:dyDescent="0.25"/>
  <cols>
    <col min="1" max="1" width="4.7109375" style="9" customWidth="1"/>
    <col min="2" max="2" width="40.5703125" style="9" customWidth="1"/>
    <col min="3" max="14" width="17.5703125" style="9" customWidth="1"/>
    <col min="15" max="15" width="18.5703125" style="9" customWidth="1"/>
    <col min="16" max="16" width="4.7109375" style="9" customWidth="1"/>
    <col min="17" max="17" width="1.7109375" style="9" customWidth="1"/>
    <col min="18" max="19" width="9.140625" style="9"/>
    <col min="20" max="20" width="11.140625" style="9" customWidth="1"/>
    <col min="21" max="16384" width="9.140625" style="9"/>
  </cols>
  <sheetData>
    <row r="1" spans="1:20" ht="24" customHeight="1" x14ac:dyDescent="0.25">
      <c r="A1" s="5"/>
      <c r="B1" s="6"/>
      <c r="C1" s="6"/>
      <c r="D1" s="6"/>
      <c r="E1" s="6"/>
      <c r="F1" s="7"/>
      <c r="G1" s="7"/>
      <c r="H1" s="7"/>
      <c r="I1" s="7"/>
      <c r="J1" s="7"/>
      <c r="K1" s="7"/>
      <c r="L1" s="7"/>
      <c r="M1" s="7"/>
      <c r="N1" s="7"/>
      <c r="O1" s="7"/>
      <c r="P1" s="8" t="s">
        <v>51</v>
      </c>
    </row>
    <row r="2" spans="1:20" ht="45" customHeight="1" x14ac:dyDescent="0.25">
      <c r="A2" s="10"/>
      <c r="B2" s="11" t="s">
        <v>8</v>
      </c>
      <c r="C2" s="11"/>
      <c r="D2" s="11"/>
      <c r="E2" s="12"/>
      <c r="F2" s="13"/>
      <c r="G2" s="13"/>
      <c r="H2" s="13"/>
      <c r="I2" s="13"/>
      <c r="J2" s="13"/>
      <c r="K2" s="128" t="s">
        <v>44</v>
      </c>
      <c r="L2" s="128"/>
      <c r="M2" s="128"/>
      <c r="N2" s="14"/>
      <c r="O2" s="14"/>
      <c r="P2" s="7"/>
    </row>
    <row r="3" spans="1:20" ht="30" customHeight="1" x14ac:dyDescent="0.25">
      <c r="A3" s="10"/>
      <c r="B3" s="11"/>
      <c r="C3" s="11"/>
      <c r="D3" s="11"/>
      <c r="E3" s="15"/>
      <c r="F3" s="16"/>
      <c r="G3" s="16"/>
      <c r="H3" s="16"/>
      <c r="I3" s="16"/>
      <c r="J3" s="16"/>
      <c r="K3" s="129" t="s">
        <v>45</v>
      </c>
      <c r="L3" s="129"/>
      <c r="M3" s="129"/>
      <c r="N3" s="14"/>
      <c r="O3" s="14"/>
      <c r="P3" s="7"/>
    </row>
    <row r="4" spans="1:20" s="20" customFormat="1" ht="49.5" customHeight="1" x14ac:dyDescent="0.25">
      <c r="A4" s="17"/>
      <c r="B4" s="18" t="s">
        <v>9</v>
      </c>
      <c r="C4" s="70" t="s">
        <v>36</v>
      </c>
      <c r="D4" s="70" t="s">
        <v>37</v>
      </c>
      <c r="E4" s="70" t="s">
        <v>38</v>
      </c>
      <c r="F4" s="70" t="s">
        <v>39</v>
      </c>
      <c r="G4" s="70" t="s">
        <v>40</v>
      </c>
      <c r="H4" s="70" t="s">
        <v>41</v>
      </c>
      <c r="I4" s="70" t="s">
        <v>42</v>
      </c>
      <c r="J4" s="70" t="s">
        <v>43</v>
      </c>
      <c r="K4" s="70" t="s">
        <v>46</v>
      </c>
      <c r="L4" s="70" t="s">
        <v>47</v>
      </c>
      <c r="M4" s="70" t="s">
        <v>48</v>
      </c>
      <c r="N4" s="70" t="s">
        <v>49</v>
      </c>
      <c r="O4" s="70" t="s">
        <v>50</v>
      </c>
      <c r="P4" s="19"/>
      <c r="R4" s="126"/>
      <c r="S4" s="127"/>
      <c r="T4" s="127"/>
    </row>
    <row r="5" spans="1:20" ht="24.95" customHeight="1" thickBot="1" x14ac:dyDescent="0.3">
      <c r="A5" s="17"/>
      <c r="B5" s="21" t="s">
        <v>10</v>
      </c>
      <c r="C5" s="71" t="s">
        <v>36</v>
      </c>
      <c r="D5" s="72" t="s">
        <v>37</v>
      </c>
      <c r="E5" s="72" t="s">
        <v>38</v>
      </c>
      <c r="F5" s="72" t="s">
        <v>39</v>
      </c>
      <c r="G5" s="72" t="s">
        <v>40</v>
      </c>
      <c r="H5" s="72" t="s">
        <v>41</v>
      </c>
      <c r="I5" s="72" t="s">
        <v>42</v>
      </c>
      <c r="J5" s="72" t="s">
        <v>43</v>
      </c>
      <c r="K5" s="72" t="s">
        <v>46</v>
      </c>
      <c r="L5" s="72" t="s">
        <v>47</v>
      </c>
      <c r="M5" s="72" t="s">
        <v>48</v>
      </c>
      <c r="N5" s="72" t="s">
        <v>49</v>
      </c>
      <c r="O5" s="73" t="s">
        <v>50</v>
      </c>
      <c r="P5" s="22"/>
      <c r="R5" s="127"/>
      <c r="S5" s="127"/>
      <c r="T5" s="127"/>
    </row>
    <row r="6" spans="1:20" ht="24.95" customHeight="1" thickBot="1" x14ac:dyDescent="0.3">
      <c r="A6" s="17"/>
      <c r="B6" s="23" t="s">
        <v>11</v>
      </c>
      <c r="C6" s="82">
        <v>85000</v>
      </c>
      <c r="D6" s="83">
        <v>85000</v>
      </c>
      <c r="E6" s="83">
        <v>85000</v>
      </c>
      <c r="F6" s="83">
        <v>87500</v>
      </c>
      <c r="G6" s="83">
        <v>87500</v>
      </c>
      <c r="H6" s="83">
        <v>87500</v>
      </c>
      <c r="I6" s="83">
        <v>87500</v>
      </c>
      <c r="J6" s="83">
        <v>92400</v>
      </c>
      <c r="K6" s="83">
        <v>92400</v>
      </c>
      <c r="L6" s="83">
        <v>92400</v>
      </c>
      <c r="M6" s="83">
        <v>92400</v>
      </c>
      <c r="N6" s="83">
        <v>92400</v>
      </c>
      <c r="O6" s="84">
        <f>SUM(C6:N6)</f>
        <v>1067000</v>
      </c>
      <c r="P6" s="22"/>
      <c r="R6" s="127"/>
      <c r="S6" s="127"/>
      <c r="T6" s="127"/>
    </row>
    <row r="7" spans="1:20" ht="24.95" customHeight="1" thickBot="1" x14ac:dyDescent="0.3">
      <c r="A7" s="17"/>
      <c r="B7" s="23" t="s">
        <v>12</v>
      </c>
      <c r="C7" s="82">
        <f t="shared" ref="C7:N7" si="0">C6*0.27</f>
        <v>22950</v>
      </c>
      <c r="D7" s="83">
        <f t="shared" si="0"/>
        <v>22950</v>
      </c>
      <c r="E7" s="83">
        <f t="shared" si="0"/>
        <v>22950</v>
      </c>
      <c r="F7" s="83">
        <f t="shared" si="0"/>
        <v>23625</v>
      </c>
      <c r="G7" s="83">
        <f t="shared" si="0"/>
        <v>23625</v>
      </c>
      <c r="H7" s="83">
        <f t="shared" si="0"/>
        <v>23625</v>
      </c>
      <c r="I7" s="83">
        <f t="shared" si="0"/>
        <v>23625</v>
      </c>
      <c r="J7" s="83">
        <f t="shared" si="0"/>
        <v>24948</v>
      </c>
      <c r="K7" s="83">
        <f t="shared" si="0"/>
        <v>24948</v>
      </c>
      <c r="L7" s="83">
        <f t="shared" si="0"/>
        <v>24948</v>
      </c>
      <c r="M7" s="83">
        <f t="shared" si="0"/>
        <v>24948</v>
      </c>
      <c r="N7" s="83">
        <f t="shared" si="0"/>
        <v>24948</v>
      </c>
      <c r="O7" s="84">
        <f>SUM(C7:N7)</f>
        <v>288090</v>
      </c>
      <c r="P7" s="22"/>
      <c r="R7" s="127"/>
      <c r="S7" s="127"/>
      <c r="T7" s="127"/>
    </row>
    <row r="8" spans="1:20" ht="24.95" customHeight="1" x14ac:dyDescent="0.25">
      <c r="A8" s="17"/>
      <c r="B8" s="24" t="s">
        <v>13</v>
      </c>
      <c r="C8" s="85">
        <f>SUBTOTAL(109,EmployeePlan[ינו])</f>
        <v>107950</v>
      </c>
      <c r="D8" s="86">
        <f>SUBTOTAL(109,EmployeePlan[פבר])</f>
        <v>107950</v>
      </c>
      <c r="E8" s="86">
        <f>SUBTOTAL(109,EmployeePlan[מרץ])</f>
        <v>107950</v>
      </c>
      <c r="F8" s="86">
        <f>SUBTOTAL(109,EmployeePlan[אפר])</f>
        <v>111125</v>
      </c>
      <c r="G8" s="86">
        <f>SUBTOTAL(109,EmployeePlan[מאי])</f>
        <v>111125</v>
      </c>
      <c r="H8" s="86">
        <f>SUBTOTAL(109,EmployeePlan[יונ])</f>
        <v>111125</v>
      </c>
      <c r="I8" s="86">
        <f>SUBTOTAL(109,EmployeePlan[יול])</f>
        <v>111125</v>
      </c>
      <c r="J8" s="86">
        <f>SUBTOTAL(109,EmployeePlan[אוג])</f>
        <v>117348</v>
      </c>
      <c r="K8" s="86">
        <f>SUBTOTAL(109,EmployeePlan[ספט])</f>
        <v>117348</v>
      </c>
      <c r="L8" s="86">
        <f>SUBTOTAL(109,EmployeePlan[אוק])</f>
        <v>117348</v>
      </c>
      <c r="M8" s="86">
        <f>SUBTOTAL(109,EmployeePlan[נוב])</f>
        <v>117348</v>
      </c>
      <c r="N8" s="86">
        <f>SUBTOTAL(109,EmployeePlan[דצמ])</f>
        <v>117348</v>
      </c>
      <c r="O8" s="87">
        <f>SUBTOTAL(109,EmployeePlan[שנה])</f>
        <v>1355090</v>
      </c>
      <c r="P8" s="22"/>
      <c r="R8" s="127"/>
      <c r="S8" s="127"/>
      <c r="T8" s="127"/>
    </row>
    <row r="9" spans="1:20" ht="21" customHeight="1" thickBot="1" x14ac:dyDescent="0.3">
      <c r="A9" s="17"/>
      <c r="B9" s="25"/>
      <c r="C9" s="25"/>
      <c r="D9" s="74"/>
      <c r="E9" s="74"/>
      <c r="F9" s="74"/>
      <c r="G9" s="74"/>
      <c r="H9" s="74"/>
      <c r="I9" s="74"/>
      <c r="J9" s="74"/>
      <c r="K9" s="74"/>
      <c r="L9" s="74"/>
      <c r="M9" s="74"/>
      <c r="N9" s="74"/>
      <c r="O9" s="75"/>
      <c r="P9" s="22"/>
      <c r="R9" s="127"/>
      <c r="S9" s="127"/>
      <c r="T9" s="127"/>
    </row>
    <row r="10" spans="1:20" ht="24.95" customHeight="1" thickBot="1" x14ac:dyDescent="0.3">
      <c r="A10" s="17"/>
      <c r="B10" s="26" t="s">
        <v>14</v>
      </c>
      <c r="C10" s="76" t="s">
        <v>36</v>
      </c>
      <c r="D10" s="77" t="s">
        <v>37</v>
      </c>
      <c r="E10" s="77" t="s">
        <v>38</v>
      </c>
      <c r="F10" s="77" t="s">
        <v>39</v>
      </c>
      <c r="G10" s="77" t="s">
        <v>40</v>
      </c>
      <c r="H10" s="77" t="s">
        <v>41</v>
      </c>
      <c r="I10" s="77" t="s">
        <v>42</v>
      </c>
      <c r="J10" s="77" t="s">
        <v>43</v>
      </c>
      <c r="K10" s="77" t="s">
        <v>46</v>
      </c>
      <c r="L10" s="77" t="s">
        <v>47</v>
      </c>
      <c r="M10" s="77" t="s">
        <v>48</v>
      </c>
      <c r="N10" s="77" t="s">
        <v>49</v>
      </c>
      <c r="O10" s="78" t="s">
        <v>50</v>
      </c>
      <c r="P10" s="22"/>
      <c r="R10" s="127"/>
      <c r="S10" s="127"/>
      <c r="T10" s="127"/>
    </row>
    <row r="11" spans="1:20" ht="24.95" customHeight="1" thickBot="1" x14ac:dyDescent="0.3">
      <c r="A11" s="17"/>
      <c r="B11" s="27" t="s">
        <v>15</v>
      </c>
      <c r="C11" s="82">
        <v>9800</v>
      </c>
      <c r="D11" s="83">
        <v>9800</v>
      </c>
      <c r="E11" s="83">
        <v>9800</v>
      </c>
      <c r="F11" s="83">
        <v>9800</v>
      </c>
      <c r="G11" s="83">
        <v>9800</v>
      </c>
      <c r="H11" s="83">
        <v>9800</v>
      </c>
      <c r="I11" s="83">
        <v>9800</v>
      </c>
      <c r="J11" s="83">
        <v>9800</v>
      </c>
      <c r="K11" s="83">
        <v>9800</v>
      </c>
      <c r="L11" s="83">
        <v>9800</v>
      </c>
      <c r="M11" s="83">
        <v>9800</v>
      </c>
      <c r="N11" s="83">
        <v>9800</v>
      </c>
      <c r="O11" s="84">
        <f t="shared" ref="O11:O18" si="1">SUM(C11:N11)</f>
        <v>117600</v>
      </c>
      <c r="P11" s="22"/>
      <c r="R11" s="127"/>
      <c r="S11" s="127"/>
      <c r="T11" s="127"/>
    </row>
    <row r="12" spans="1:20" ht="24.95" customHeight="1" thickBot="1" x14ac:dyDescent="0.3">
      <c r="A12" s="17"/>
      <c r="B12" s="27" t="s">
        <v>16</v>
      </c>
      <c r="C12" s="82"/>
      <c r="D12" s="83">
        <v>400</v>
      </c>
      <c r="E12" s="83">
        <v>400</v>
      </c>
      <c r="F12" s="83">
        <v>100</v>
      </c>
      <c r="G12" s="83">
        <v>100</v>
      </c>
      <c r="H12" s="83">
        <v>100</v>
      </c>
      <c r="I12" s="83">
        <v>100</v>
      </c>
      <c r="J12" s="83">
        <v>100</v>
      </c>
      <c r="K12" s="83">
        <v>100</v>
      </c>
      <c r="L12" s="83">
        <v>100</v>
      </c>
      <c r="M12" s="83">
        <v>400</v>
      </c>
      <c r="N12" s="83">
        <v>400</v>
      </c>
      <c r="O12" s="84">
        <f t="shared" si="1"/>
        <v>2300</v>
      </c>
      <c r="P12" s="22"/>
      <c r="R12" s="127"/>
      <c r="S12" s="127"/>
      <c r="T12" s="127"/>
    </row>
    <row r="13" spans="1:20" ht="24.95" customHeight="1" thickBot="1" x14ac:dyDescent="0.3">
      <c r="A13" s="17"/>
      <c r="B13" s="27" t="s">
        <v>17</v>
      </c>
      <c r="C13" s="82">
        <v>300</v>
      </c>
      <c r="D13" s="83">
        <v>300</v>
      </c>
      <c r="E13" s="83">
        <v>300</v>
      </c>
      <c r="F13" s="83">
        <v>300</v>
      </c>
      <c r="G13" s="83">
        <v>300</v>
      </c>
      <c r="H13" s="83">
        <v>300</v>
      </c>
      <c r="I13" s="83">
        <v>300</v>
      </c>
      <c r="J13" s="83">
        <v>300</v>
      </c>
      <c r="K13" s="83">
        <v>300</v>
      </c>
      <c r="L13" s="83">
        <v>300</v>
      </c>
      <c r="M13" s="83">
        <v>300</v>
      </c>
      <c r="N13" s="83">
        <v>300</v>
      </c>
      <c r="O13" s="84">
        <f t="shared" si="1"/>
        <v>3600</v>
      </c>
      <c r="P13" s="22"/>
      <c r="R13" s="127"/>
      <c r="S13" s="127"/>
      <c r="T13" s="127"/>
    </row>
    <row r="14" spans="1:20" ht="24.95" customHeight="1" thickBot="1" x14ac:dyDescent="0.3">
      <c r="A14" s="17"/>
      <c r="B14" s="27" t="s">
        <v>18</v>
      </c>
      <c r="C14" s="82">
        <v>40</v>
      </c>
      <c r="D14" s="83">
        <v>40</v>
      </c>
      <c r="E14" s="83">
        <v>40</v>
      </c>
      <c r="F14" s="83">
        <v>40</v>
      </c>
      <c r="G14" s="83">
        <v>40</v>
      </c>
      <c r="H14" s="83">
        <v>40</v>
      </c>
      <c r="I14" s="83">
        <v>40</v>
      </c>
      <c r="J14" s="83">
        <v>40</v>
      </c>
      <c r="K14" s="83">
        <v>40</v>
      </c>
      <c r="L14" s="83">
        <v>40</v>
      </c>
      <c r="M14" s="83">
        <v>40</v>
      </c>
      <c r="N14" s="83">
        <v>40</v>
      </c>
      <c r="O14" s="84">
        <f t="shared" si="1"/>
        <v>480</v>
      </c>
      <c r="P14" s="22"/>
    </row>
    <row r="15" spans="1:20" ht="24.95" customHeight="1" thickBot="1" x14ac:dyDescent="0.3">
      <c r="A15" s="17"/>
      <c r="B15" s="27" t="s">
        <v>19</v>
      </c>
      <c r="C15" s="82">
        <v>250</v>
      </c>
      <c r="D15" s="83">
        <v>250</v>
      </c>
      <c r="E15" s="83">
        <v>250</v>
      </c>
      <c r="F15" s="83">
        <v>250</v>
      </c>
      <c r="G15" s="83">
        <v>250</v>
      </c>
      <c r="H15" s="83">
        <v>250</v>
      </c>
      <c r="I15" s="83">
        <v>250</v>
      </c>
      <c r="J15" s="83">
        <v>250</v>
      </c>
      <c r="K15" s="83">
        <v>250</v>
      </c>
      <c r="L15" s="83">
        <v>250</v>
      </c>
      <c r="M15" s="83">
        <v>250</v>
      </c>
      <c r="N15" s="83">
        <v>250</v>
      </c>
      <c r="O15" s="84">
        <f t="shared" si="1"/>
        <v>3000</v>
      </c>
      <c r="P15" s="22"/>
    </row>
    <row r="16" spans="1:20" ht="24.95" customHeight="1" thickBot="1" x14ac:dyDescent="0.3">
      <c r="A16" s="17"/>
      <c r="B16" s="27" t="s">
        <v>20</v>
      </c>
      <c r="C16" s="82">
        <v>180</v>
      </c>
      <c r="D16" s="83">
        <v>180</v>
      </c>
      <c r="E16" s="83">
        <v>180</v>
      </c>
      <c r="F16" s="83">
        <v>180</v>
      </c>
      <c r="G16" s="83">
        <v>180</v>
      </c>
      <c r="H16" s="83">
        <v>180</v>
      </c>
      <c r="I16" s="83">
        <v>180</v>
      </c>
      <c r="J16" s="83">
        <v>180</v>
      </c>
      <c r="K16" s="83">
        <v>180</v>
      </c>
      <c r="L16" s="83">
        <v>180</v>
      </c>
      <c r="M16" s="83">
        <v>180</v>
      </c>
      <c r="N16" s="83">
        <v>180</v>
      </c>
      <c r="O16" s="84">
        <f t="shared" si="1"/>
        <v>2160</v>
      </c>
      <c r="P16" s="22"/>
    </row>
    <row r="17" spans="1:16" ht="24.95" customHeight="1" thickBot="1" x14ac:dyDescent="0.3">
      <c r="A17" s="17"/>
      <c r="B17" s="27" t="s">
        <v>21</v>
      </c>
      <c r="C17" s="82">
        <v>200</v>
      </c>
      <c r="D17" s="83">
        <v>200</v>
      </c>
      <c r="E17" s="83">
        <v>200</v>
      </c>
      <c r="F17" s="83">
        <v>200</v>
      </c>
      <c r="G17" s="83">
        <v>200</v>
      </c>
      <c r="H17" s="83">
        <v>200</v>
      </c>
      <c r="I17" s="83">
        <v>200</v>
      </c>
      <c r="J17" s="83">
        <v>200</v>
      </c>
      <c r="K17" s="83">
        <v>200</v>
      </c>
      <c r="L17" s="83">
        <v>200</v>
      </c>
      <c r="M17" s="83">
        <v>200</v>
      </c>
      <c r="N17" s="83">
        <v>200</v>
      </c>
      <c r="O17" s="84">
        <f t="shared" si="1"/>
        <v>2400</v>
      </c>
      <c r="P17" s="22"/>
    </row>
    <row r="18" spans="1:16" ht="24.95" customHeight="1" thickBot="1" x14ac:dyDescent="0.3">
      <c r="A18" s="17"/>
      <c r="B18" s="27" t="s">
        <v>22</v>
      </c>
      <c r="C18" s="82">
        <v>600</v>
      </c>
      <c r="D18" s="83">
        <v>600</v>
      </c>
      <c r="E18" s="83">
        <v>600</v>
      </c>
      <c r="F18" s="83">
        <v>600</v>
      </c>
      <c r="G18" s="83">
        <v>600</v>
      </c>
      <c r="H18" s="83">
        <v>600</v>
      </c>
      <c r="I18" s="83">
        <v>600</v>
      </c>
      <c r="J18" s="83">
        <v>600</v>
      </c>
      <c r="K18" s="83">
        <v>600</v>
      </c>
      <c r="L18" s="83">
        <v>600</v>
      </c>
      <c r="M18" s="83">
        <v>600</v>
      </c>
      <c r="N18" s="83">
        <v>600</v>
      </c>
      <c r="O18" s="84">
        <f t="shared" si="1"/>
        <v>7200</v>
      </c>
      <c r="P18" s="22"/>
    </row>
    <row r="19" spans="1:16" ht="24.95" customHeight="1" thickBot="1" x14ac:dyDescent="0.3">
      <c r="A19" s="17"/>
      <c r="B19" s="28" t="s">
        <v>13</v>
      </c>
      <c r="C19" s="88">
        <f>SUBTOTAL(109,OfficePlan[ינו])</f>
        <v>11370</v>
      </c>
      <c r="D19" s="89">
        <f>SUBTOTAL(109,OfficePlan[פבר])</f>
        <v>11770</v>
      </c>
      <c r="E19" s="89">
        <f>SUBTOTAL(109,OfficePlan[מרץ])</f>
        <v>11770</v>
      </c>
      <c r="F19" s="89">
        <f>SUBTOTAL(109,OfficePlan[אפר])</f>
        <v>11470</v>
      </c>
      <c r="G19" s="89">
        <f>SUBTOTAL(109,OfficePlan[מאי])</f>
        <v>11470</v>
      </c>
      <c r="H19" s="89">
        <f>SUBTOTAL(109,OfficePlan[יונ])</f>
        <v>11470</v>
      </c>
      <c r="I19" s="89">
        <f>SUBTOTAL(109,OfficePlan[יול])</f>
        <v>11470</v>
      </c>
      <c r="J19" s="89">
        <f>SUBTOTAL(109,OfficePlan[אוג])</f>
        <v>11470</v>
      </c>
      <c r="K19" s="89">
        <f>SUBTOTAL(109,OfficePlan[ספט])</f>
        <v>11470</v>
      </c>
      <c r="L19" s="89">
        <f>SUBTOTAL(109,OfficePlan[אוק])</f>
        <v>11470</v>
      </c>
      <c r="M19" s="89">
        <f>SUBTOTAL(109,OfficePlan[נוב])</f>
        <v>11770</v>
      </c>
      <c r="N19" s="89">
        <f>SUBTOTAL(109,OfficePlan[דצמ])</f>
        <v>11770</v>
      </c>
      <c r="O19" s="90">
        <f>SUBTOTAL(109,OfficePlan[שנה])</f>
        <v>138740</v>
      </c>
      <c r="P19" s="22"/>
    </row>
    <row r="20" spans="1:16" ht="21" customHeight="1" x14ac:dyDescent="0.25">
      <c r="A20" s="17"/>
      <c r="B20" s="29"/>
      <c r="C20" s="29"/>
      <c r="D20" s="74"/>
      <c r="E20" s="74"/>
      <c r="F20" s="79"/>
      <c r="G20" s="79"/>
      <c r="H20" s="79"/>
      <c r="I20" s="79"/>
      <c r="J20" s="79"/>
      <c r="K20" s="79"/>
      <c r="L20" s="79"/>
      <c r="M20" s="79"/>
      <c r="N20" s="79"/>
      <c r="O20" s="75"/>
      <c r="P20" s="22"/>
    </row>
    <row r="21" spans="1:16" ht="24.95" customHeight="1" thickBot="1" x14ac:dyDescent="0.3">
      <c r="A21" s="17"/>
      <c r="B21" s="30" t="s">
        <v>23</v>
      </c>
      <c r="C21" s="80" t="s">
        <v>36</v>
      </c>
      <c r="D21" s="80" t="s">
        <v>37</v>
      </c>
      <c r="E21" s="80" t="s">
        <v>38</v>
      </c>
      <c r="F21" s="80" t="s">
        <v>39</v>
      </c>
      <c r="G21" s="80" t="s">
        <v>40</v>
      </c>
      <c r="H21" s="80" t="s">
        <v>41</v>
      </c>
      <c r="I21" s="80" t="s">
        <v>42</v>
      </c>
      <c r="J21" s="80" t="s">
        <v>43</v>
      </c>
      <c r="K21" s="80" t="s">
        <v>46</v>
      </c>
      <c r="L21" s="80" t="s">
        <v>47</v>
      </c>
      <c r="M21" s="80" t="s">
        <v>48</v>
      </c>
      <c r="N21" s="80" t="s">
        <v>49</v>
      </c>
      <c r="O21" s="81" t="s">
        <v>50</v>
      </c>
      <c r="P21" s="22"/>
    </row>
    <row r="22" spans="1:16" ht="24.95" customHeight="1" thickBot="1" x14ac:dyDescent="0.3">
      <c r="A22" s="17"/>
      <c r="B22" s="23" t="s">
        <v>24</v>
      </c>
      <c r="C22" s="102">
        <v>500</v>
      </c>
      <c r="D22" s="103">
        <v>500</v>
      </c>
      <c r="E22" s="103">
        <v>500</v>
      </c>
      <c r="F22" s="103">
        <v>500</v>
      </c>
      <c r="G22" s="103">
        <v>500</v>
      </c>
      <c r="H22" s="103">
        <v>500</v>
      </c>
      <c r="I22" s="103">
        <v>500</v>
      </c>
      <c r="J22" s="103">
        <v>500</v>
      </c>
      <c r="K22" s="103">
        <v>500</v>
      </c>
      <c r="L22" s="103">
        <v>500</v>
      </c>
      <c r="M22" s="103">
        <v>500</v>
      </c>
      <c r="N22" s="103">
        <v>500</v>
      </c>
      <c r="O22" s="84">
        <f t="shared" ref="O22:O27" si="2">SUM(C22:N22)</f>
        <v>6000</v>
      </c>
      <c r="P22" s="22"/>
    </row>
    <row r="23" spans="1:16" ht="24.95" customHeight="1" thickBot="1" x14ac:dyDescent="0.3">
      <c r="A23" s="17"/>
      <c r="B23" s="23" t="s">
        <v>25</v>
      </c>
      <c r="C23" s="102">
        <v>200</v>
      </c>
      <c r="D23" s="103">
        <v>200</v>
      </c>
      <c r="E23" s="103">
        <v>200</v>
      </c>
      <c r="F23" s="103">
        <v>200</v>
      </c>
      <c r="G23" s="103">
        <v>200</v>
      </c>
      <c r="H23" s="103">
        <v>1000</v>
      </c>
      <c r="I23" s="103">
        <v>200</v>
      </c>
      <c r="J23" s="103">
        <v>200</v>
      </c>
      <c r="K23" s="103">
        <v>200</v>
      </c>
      <c r="L23" s="103">
        <v>200</v>
      </c>
      <c r="M23" s="103">
        <v>200</v>
      </c>
      <c r="N23" s="103">
        <v>1000</v>
      </c>
      <c r="O23" s="84">
        <f t="shared" si="2"/>
        <v>4000</v>
      </c>
      <c r="P23" s="22"/>
    </row>
    <row r="24" spans="1:16" ht="24.95" customHeight="1" thickBot="1" x14ac:dyDescent="0.3">
      <c r="A24" s="17"/>
      <c r="B24" s="23" t="s">
        <v>26</v>
      </c>
      <c r="C24" s="102">
        <v>5000</v>
      </c>
      <c r="D24" s="103">
        <v>0</v>
      </c>
      <c r="E24" s="103">
        <v>0</v>
      </c>
      <c r="F24" s="103">
        <v>5000</v>
      </c>
      <c r="G24" s="103">
        <v>0</v>
      </c>
      <c r="H24" s="103">
        <v>0</v>
      </c>
      <c r="I24" s="103">
        <v>5000</v>
      </c>
      <c r="J24" s="103">
        <v>0</v>
      </c>
      <c r="K24" s="103">
        <v>0</v>
      </c>
      <c r="L24" s="103">
        <v>5000</v>
      </c>
      <c r="M24" s="103">
        <v>0</v>
      </c>
      <c r="N24" s="103">
        <v>0</v>
      </c>
      <c r="O24" s="84">
        <f t="shared" si="2"/>
        <v>20000</v>
      </c>
      <c r="P24" s="22"/>
    </row>
    <row r="25" spans="1:16" ht="24.95" customHeight="1" thickBot="1" x14ac:dyDescent="0.3">
      <c r="A25" s="17"/>
      <c r="B25" s="23" t="s">
        <v>27</v>
      </c>
      <c r="C25" s="102">
        <v>200</v>
      </c>
      <c r="D25" s="103">
        <v>200</v>
      </c>
      <c r="E25" s="103">
        <v>200</v>
      </c>
      <c r="F25" s="103">
        <v>200</v>
      </c>
      <c r="G25" s="103">
        <v>200</v>
      </c>
      <c r="H25" s="103">
        <v>200</v>
      </c>
      <c r="I25" s="103">
        <v>200</v>
      </c>
      <c r="J25" s="103">
        <v>200</v>
      </c>
      <c r="K25" s="103">
        <v>200</v>
      </c>
      <c r="L25" s="103">
        <v>200</v>
      </c>
      <c r="M25" s="103">
        <v>200</v>
      </c>
      <c r="N25" s="103">
        <v>200</v>
      </c>
      <c r="O25" s="84">
        <f t="shared" si="2"/>
        <v>2400</v>
      </c>
      <c r="P25" s="22"/>
    </row>
    <row r="26" spans="1:16" ht="24.95" customHeight="1" thickBot="1" x14ac:dyDescent="0.3">
      <c r="A26" s="17"/>
      <c r="B26" s="23" t="s">
        <v>28</v>
      </c>
      <c r="C26" s="102">
        <v>2000</v>
      </c>
      <c r="D26" s="103">
        <v>2000</v>
      </c>
      <c r="E26" s="103">
        <v>2000</v>
      </c>
      <c r="F26" s="103">
        <v>5000</v>
      </c>
      <c r="G26" s="103">
        <v>2000</v>
      </c>
      <c r="H26" s="103">
        <v>2000</v>
      </c>
      <c r="I26" s="103">
        <v>2000</v>
      </c>
      <c r="J26" s="103">
        <v>5000</v>
      </c>
      <c r="K26" s="103">
        <v>2000</v>
      </c>
      <c r="L26" s="103">
        <v>2000</v>
      </c>
      <c r="M26" s="103">
        <v>2000</v>
      </c>
      <c r="N26" s="103">
        <v>5000</v>
      </c>
      <c r="O26" s="84">
        <f t="shared" si="2"/>
        <v>33000</v>
      </c>
      <c r="P26" s="22"/>
    </row>
    <row r="27" spans="1:16" ht="24.95" customHeight="1" thickBot="1" x14ac:dyDescent="0.3">
      <c r="A27" s="17"/>
      <c r="B27" s="23" t="s">
        <v>29</v>
      </c>
      <c r="C27" s="102">
        <v>200</v>
      </c>
      <c r="D27" s="103">
        <v>200</v>
      </c>
      <c r="E27" s="103">
        <v>200</v>
      </c>
      <c r="F27" s="103">
        <v>200</v>
      </c>
      <c r="G27" s="103">
        <v>200</v>
      </c>
      <c r="H27" s="103">
        <v>200</v>
      </c>
      <c r="I27" s="103">
        <v>200</v>
      </c>
      <c r="J27" s="103">
        <v>200</v>
      </c>
      <c r="K27" s="103">
        <v>200</v>
      </c>
      <c r="L27" s="103">
        <v>200</v>
      </c>
      <c r="M27" s="103">
        <v>200</v>
      </c>
      <c r="N27" s="103">
        <v>200</v>
      </c>
      <c r="O27" s="84">
        <f t="shared" si="2"/>
        <v>2400</v>
      </c>
      <c r="P27" s="22"/>
    </row>
    <row r="28" spans="1:16" ht="24.95" customHeight="1" x14ac:dyDescent="0.25">
      <c r="A28" s="17"/>
      <c r="B28" s="31" t="s">
        <v>13</v>
      </c>
      <c r="C28" s="85">
        <f>SUBTOTAL(109,MarketingPlan[ינו])</f>
        <v>8100</v>
      </c>
      <c r="D28" s="86">
        <f>SUBTOTAL(109,MarketingPlan[פבר])</f>
        <v>3100</v>
      </c>
      <c r="E28" s="86">
        <f>SUBTOTAL(109,MarketingPlan[מרץ])</f>
        <v>3100</v>
      </c>
      <c r="F28" s="86">
        <f>SUBTOTAL(109,MarketingPlan[אפר])</f>
        <v>11100</v>
      </c>
      <c r="G28" s="86">
        <f>SUBTOTAL(109,MarketingPlan[מאי])</f>
        <v>3100</v>
      </c>
      <c r="H28" s="86">
        <f>SUBTOTAL(109,MarketingPlan[יונ])</f>
        <v>3900</v>
      </c>
      <c r="I28" s="86">
        <f>SUBTOTAL(109,MarketingPlan[יול])</f>
        <v>8100</v>
      </c>
      <c r="J28" s="86">
        <f>SUBTOTAL(109,MarketingPlan[אוג])</f>
        <v>6100</v>
      </c>
      <c r="K28" s="86">
        <f>SUBTOTAL(109,MarketingPlan[ספט])</f>
        <v>3100</v>
      </c>
      <c r="L28" s="86">
        <f>SUBTOTAL(109,MarketingPlan[אוק])</f>
        <v>8100</v>
      </c>
      <c r="M28" s="86">
        <f>SUBTOTAL(109,MarketingPlan[נוב])</f>
        <v>3100</v>
      </c>
      <c r="N28" s="86">
        <f>SUBTOTAL(109,MarketingPlan[דצמ])</f>
        <v>6900</v>
      </c>
      <c r="O28" s="87">
        <f>SUBTOTAL(109,MarketingPlan[שנה])</f>
        <v>67800</v>
      </c>
      <c r="P28" s="22"/>
    </row>
    <row r="29" spans="1:16" ht="21" customHeight="1" x14ac:dyDescent="0.25">
      <c r="A29" s="17"/>
      <c r="B29" s="25"/>
      <c r="C29" s="25"/>
      <c r="D29" s="79"/>
      <c r="E29" s="79"/>
      <c r="F29" s="79"/>
      <c r="G29" s="79"/>
      <c r="H29" s="79"/>
      <c r="I29" s="79"/>
      <c r="J29" s="79"/>
      <c r="K29" s="79"/>
      <c r="L29" s="79"/>
      <c r="M29" s="79"/>
      <c r="N29" s="79"/>
      <c r="O29" s="75"/>
      <c r="P29" s="22"/>
    </row>
    <row r="30" spans="1:16" ht="21" customHeight="1" thickBot="1" x14ac:dyDescent="0.3">
      <c r="A30" s="17"/>
      <c r="B30" s="32" t="s">
        <v>30</v>
      </c>
      <c r="C30" s="80" t="s">
        <v>36</v>
      </c>
      <c r="D30" s="80" t="s">
        <v>37</v>
      </c>
      <c r="E30" s="80" t="s">
        <v>38</v>
      </c>
      <c r="F30" s="80" t="s">
        <v>39</v>
      </c>
      <c r="G30" s="80" t="s">
        <v>40</v>
      </c>
      <c r="H30" s="80" t="s">
        <v>41</v>
      </c>
      <c r="I30" s="80" t="s">
        <v>42</v>
      </c>
      <c r="J30" s="80" t="s">
        <v>43</v>
      </c>
      <c r="K30" s="80" t="s">
        <v>46</v>
      </c>
      <c r="L30" s="80" t="s">
        <v>47</v>
      </c>
      <c r="M30" s="80" t="s">
        <v>48</v>
      </c>
      <c r="N30" s="80" t="s">
        <v>49</v>
      </c>
      <c r="O30" s="81" t="s">
        <v>50</v>
      </c>
      <c r="P30" s="22"/>
    </row>
    <row r="31" spans="1:16" ht="21" customHeight="1" thickBot="1" x14ac:dyDescent="0.3">
      <c r="A31" s="17"/>
      <c r="B31" s="23" t="s">
        <v>31</v>
      </c>
      <c r="C31" s="102">
        <v>2000</v>
      </c>
      <c r="D31" s="103">
        <v>2000</v>
      </c>
      <c r="E31" s="103">
        <v>2000</v>
      </c>
      <c r="F31" s="103">
        <v>2000</v>
      </c>
      <c r="G31" s="103">
        <v>2000</v>
      </c>
      <c r="H31" s="103">
        <v>2000</v>
      </c>
      <c r="I31" s="103">
        <v>2000</v>
      </c>
      <c r="J31" s="103">
        <v>2000</v>
      </c>
      <c r="K31" s="103">
        <v>2000</v>
      </c>
      <c r="L31" s="103">
        <v>2000</v>
      </c>
      <c r="M31" s="103">
        <v>2000</v>
      </c>
      <c r="N31" s="103">
        <v>2000</v>
      </c>
      <c r="O31" s="104">
        <f>SUM(C31:N31)</f>
        <v>24000</v>
      </c>
      <c r="P31" s="22"/>
    </row>
    <row r="32" spans="1:16" ht="21" customHeight="1" thickBot="1" x14ac:dyDescent="0.3">
      <c r="A32" s="17"/>
      <c r="B32" s="23" t="s">
        <v>32</v>
      </c>
      <c r="C32" s="102">
        <v>2000</v>
      </c>
      <c r="D32" s="103">
        <v>2000</v>
      </c>
      <c r="E32" s="103">
        <v>2000</v>
      </c>
      <c r="F32" s="103">
        <v>2000</v>
      </c>
      <c r="G32" s="103">
        <v>2000</v>
      </c>
      <c r="H32" s="103">
        <v>2000</v>
      </c>
      <c r="I32" s="103">
        <v>2000</v>
      </c>
      <c r="J32" s="103">
        <v>2000</v>
      </c>
      <c r="K32" s="103">
        <v>2000</v>
      </c>
      <c r="L32" s="103">
        <v>2000</v>
      </c>
      <c r="M32" s="103">
        <v>2000</v>
      </c>
      <c r="N32" s="103">
        <v>2000</v>
      </c>
      <c r="O32" s="104">
        <f>SUM(C32:N32)</f>
        <v>24000</v>
      </c>
      <c r="P32" s="22"/>
    </row>
    <row r="33" spans="1:16" ht="21" customHeight="1" x14ac:dyDescent="0.25">
      <c r="A33" s="17"/>
      <c r="B33" s="31" t="s">
        <v>13</v>
      </c>
      <c r="C33" s="107">
        <f>SUBTOTAL(109,TrainingAndTravelPlan[ינו])</f>
        <v>4000</v>
      </c>
      <c r="D33" s="105">
        <f>SUBTOTAL(109,TrainingAndTravelPlan[פבר])</f>
        <v>4000</v>
      </c>
      <c r="E33" s="105">
        <f>SUBTOTAL(109,TrainingAndTravelPlan[מרץ])</f>
        <v>4000</v>
      </c>
      <c r="F33" s="105">
        <f>SUBTOTAL(109,TrainingAndTravelPlan[אפר])</f>
        <v>4000</v>
      </c>
      <c r="G33" s="105">
        <f>SUBTOTAL(109,TrainingAndTravelPlan[מאי])</f>
        <v>4000</v>
      </c>
      <c r="H33" s="105">
        <f>SUBTOTAL(109,TrainingAndTravelPlan[יונ])</f>
        <v>4000</v>
      </c>
      <c r="I33" s="105">
        <f>SUBTOTAL(109,TrainingAndTravelPlan[יול])</f>
        <v>4000</v>
      </c>
      <c r="J33" s="105">
        <f>SUBTOTAL(109,TrainingAndTravelPlan[אוג])</f>
        <v>4000</v>
      </c>
      <c r="K33" s="105">
        <f>SUBTOTAL(109,TrainingAndTravelPlan[ספט])</f>
        <v>4000</v>
      </c>
      <c r="L33" s="105">
        <f>SUBTOTAL(109,TrainingAndTravelPlan[אוק])</f>
        <v>4000</v>
      </c>
      <c r="M33" s="105">
        <f>SUBTOTAL(109,TrainingAndTravelPlan[נוב])</f>
        <v>4000</v>
      </c>
      <c r="N33" s="105">
        <f>SUBTOTAL(109,TrainingAndTravelPlan[דצמ])</f>
        <v>4000</v>
      </c>
      <c r="O33" s="106">
        <f>SUBTOTAL(109,TrainingAndTravelPlan[שנה])</f>
        <v>48000</v>
      </c>
      <c r="P33" s="22"/>
    </row>
    <row r="34" spans="1:16" ht="21" customHeight="1" x14ac:dyDescent="0.25">
      <c r="A34" s="17"/>
      <c r="B34" s="25"/>
      <c r="C34" s="25"/>
      <c r="D34" s="75"/>
      <c r="E34" s="75"/>
      <c r="F34" s="75"/>
      <c r="G34" s="75"/>
      <c r="H34" s="75"/>
      <c r="I34" s="75"/>
      <c r="J34" s="75"/>
      <c r="K34" s="75"/>
      <c r="L34" s="75"/>
      <c r="M34" s="75"/>
      <c r="N34" s="75"/>
      <c r="O34" s="75"/>
      <c r="P34" s="22"/>
    </row>
    <row r="35" spans="1:16" ht="24.95" customHeight="1" thickBot="1" x14ac:dyDescent="0.3">
      <c r="A35" s="17"/>
      <c r="B35" s="33" t="s">
        <v>33</v>
      </c>
      <c r="C35" s="34" t="s">
        <v>36</v>
      </c>
      <c r="D35" s="34" t="s">
        <v>37</v>
      </c>
      <c r="E35" s="34" t="s">
        <v>38</v>
      </c>
      <c r="F35" s="34" t="s">
        <v>39</v>
      </c>
      <c r="G35" s="34" t="s">
        <v>40</v>
      </c>
      <c r="H35" s="34" t="s">
        <v>41</v>
      </c>
      <c r="I35" s="34" t="s">
        <v>42</v>
      </c>
      <c r="J35" s="34" t="s">
        <v>43</v>
      </c>
      <c r="K35" s="34" t="s">
        <v>46</v>
      </c>
      <c r="L35" s="34" t="s">
        <v>47</v>
      </c>
      <c r="M35" s="34" t="s">
        <v>48</v>
      </c>
      <c r="N35" s="34" t="s">
        <v>49</v>
      </c>
      <c r="O35" s="34" t="s">
        <v>50</v>
      </c>
      <c r="P35" s="22"/>
    </row>
    <row r="36" spans="1:16" ht="24.95" customHeight="1" thickBot="1" x14ac:dyDescent="0.3">
      <c r="A36" s="17"/>
      <c r="B36" s="35" t="s">
        <v>34</v>
      </c>
      <c r="C36" s="108">
        <f>TrainingAndTravelPlan[[#Totals],[ינו]]+MarketingPlan[[#Totals],[ינו]]+OfficePlan[[#Totals],[ינו]]+EmployeePlan[[#Totals],[ינו]]</f>
        <v>131420</v>
      </c>
      <c r="D36" s="108">
        <f>TrainingAndTravelPlan[[#Totals],[פבר]]+MarketingPlan[[#Totals],[פבר]]+OfficePlan[[#Totals],[פבר]]+EmployeePlan[[#Totals],[פבר]]</f>
        <v>126820</v>
      </c>
      <c r="E36" s="108">
        <f>TrainingAndTravelPlan[[#Totals],[מרץ]]+MarketingPlan[[#Totals],[מרץ]]+OfficePlan[[#Totals],[מרץ]]+EmployeePlan[[#Totals],[מרץ]]</f>
        <v>126820</v>
      </c>
      <c r="F36" s="108">
        <f>TrainingAndTravelPlan[[#Totals],[אפר]]+MarketingPlan[[#Totals],[אפר]]+OfficePlan[[#Totals],[אפר]]+EmployeePlan[[#Totals],[אפר]]</f>
        <v>137695</v>
      </c>
      <c r="G36" s="108">
        <f>TrainingAndTravelPlan[[#Totals],[מאי]]+MarketingPlan[[#Totals],[מאי]]+OfficePlan[[#Totals],[מאי]]+EmployeePlan[[#Totals],[מאי]]</f>
        <v>129695</v>
      </c>
      <c r="H36" s="108">
        <f>TrainingAndTravelPlan[[#Totals],[יונ]]+MarketingPlan[[#Totals],[יונ]]+OfficePlan[[#Totals],[יונ]]+EmployeePlan[[#Totals],[יונ]]</f>
        <v>130495</v>
      </c>
      <c r="I36" s="109">
        <f>TrainingAndTravelPlan[[#Totals],[יול]]+MarketingPlan[[#Totals],[יול]]+OfficePlan[[#Totals],[יול]]+EmployeePlan[[#Totals],[יול]]</f>
        <v>134695</v>
      </c>
      <c r="J36" s="108">
        <f>TrainingAndTravelPlan[[#Totals],[אוג]]+MarketingPlan[[#Totals],[אוג]]+OfficePlan[[#Totals],[אוג]]+EmployeePlan[[#Totals],[אוג]]</f>
        <v>138918</v>
      </c>
      <c r="K36" s="108">
        <f>TrainingAndTravelPlan[[#Totals],[ספט]]+MarketingPlan[[#Totals],[ספט]]+OfficePlan[[#Totals],[ספט]]+EmployeePlan[[#Totals],[ספט]]</f>
        <v>135918</v>
      </c>
      <c r="L36" s="108">
        <f>TrainingAndTravelPlan[[#Totals],[אוק]]+MarketingPlan[[#Totals],[אוק]]+OfficePlan[[#Totals],[אוק]]+EmployeePlan[[#Totals],[אוק]]</f>
        <v>140918</v>
      </c>
      <c r="M36" s="108">
        <f>TrainingAndTravelPlan[[#Totals],[נוב]]+MarketingPlan[[#Totals],[נוב]]+OfficePlan[[#Totals],[נוב]]+EmployeePlan[[#Totals],[נוב]]</f>
        <v>136218</v>
      </c>
      <c r="N36" s="108">
        <f>TrainingAndTravelPlan[[#Totals],[דצמ]]+MarketingPlan[[#Totals],[דצמ]]+OfficePlan[[#Totals],[דצמ]]+EmployeePlan[[#Totals],[דצמ]]</f>
        <v>140018</v>
      </c>
      <c r="O36" s="108">
        <f>TrainingAndTravelPlan[[#Totals],[שנה]]+MarketingPlan[[#Totals],[שנה]]+OfficePlan[[#Totals],[שנה]]+EmployeePlan[[#Totals],[שנה]]</f>
        <v>1609630</v>
      </c>
      <c r="P36" s="22"/>
    </row>
    <row r="37" spans="1:16" ht="24.95" customHeight="1" x14ac:dyDescent="0.25">
      <c r="A37" s="17"/>
      <c r="B37" s="35" t="s">
        <v>35</v>
      </c>
      <c r="C37" s="108">
        <f>SUM($C$36:C36)</f>
        <v>131420</v>
      </c>
      <c r="D37" s="108">
        <f>SUM($C$36:D36)</f>
        <v>258240</v>
      </c>
      <c r="E37" s="108">
        <f>SUM($C$36:E36)</f>
        <v>385060</v>
      </c>
      <c r="F37" s="108">
        <f>SUM($C$36:F36)</f>
        <v>522755</v>
      </c>
      <c r="G37" s="108">
        <f>SUM($C$36:G36)</f>
        <v>652450</v>
      </c>
      <c r="H37" s="108">
        <f>SUM($C$36:H36)</f>
        <v>782945</v>
      </c>
      <c r="I37" s="108">
        <f>SUM($C$36:I36)</f>
        <v>917640</v>
      </c>
      <c r="J37" s="108">
        <f>SUM($C$36:J36)</f>
        <v>1056558</v>
      </c>
      <c r="K37" s="108">
        <f>SUM($C$36:K36)</f>
        <v>1192476</v>
      </c>
      <c r="L37" s="108">
        <f>SUM($C$36:L36)</f>
        <v>1333394</v>
      </c>
      <c r="M37" s="108">
        <f>SUM($C$36:M36)</f>
        <v>1469612</v>
      </c>
      <c r="N37" s="108">
        <f>SUM($C$36:N36)</f>
        <v>1609630</v>
      </c>
      <c r="O37" s="108"/>
      <c r="P37" s="22"/>
    </row>
    <row r="38" spans="1:16" ht="21" customHeight="1" x14ac:dyDescent="0.25">
      <c r="A38" s="36"/>
    </row>
  </sheetData>
  <mergeCells count="3">
    <mergeCell ref="R4:T13"/>
    <mergeCell ref="K2:M2"/>
    <mergeCell ref="K3:M3"/>
  </mergeCells>
  <dataValidations count="9">
    <dataValidation allowBlank="1" showInputMessage="1" showErrorMessage="1" prompt="מציין המיקום של הסמל מופיע בתא זה." sqref="N2" xr:uid="{945E4055-1BEA-4F2B-AF1A-B15640887A38}"/>
    <dataValidation allowBlank="1" showInputMessage="1" showErrorMessage="1" prompt="התווית 'הוצאות מתוכננות' מופיעה בתא משמאל, תוויות החודשים מופיעות בתאים C4 עד N4, תווית השנה מופיעה בתא O4, והוראות השימוש בתבנית זו מופיעות בתא R4." sqref="A4" xr:uid="{FC1A50C5-6C61-4FA0-BFBA-2CC82DE4DC0B}"/>
    <dataValidation allowBlank="1" showInputMessage="1" showErrorMessage="1" prompt="הזן את עלויות העובדים המתוכננות בטבלה שמתחילה בתא משמאל. ההוראה הבאה נמצאת בתא A10." sqref="A5" xr:uid="{EED19FC0-ADDC-4580-BE69-2FEDE2EE49A6}"/>
    <dataValidation allowBlank="1" showInputMessage="1" showErrorMessage="1" prompt="הזן את העלויות המשרדיות בטבלה 'עלויות משרדיות מתוכננות' שמתחילה בתא משמאל. ההוראה הבאה נמצאת בתא A21." sqref="A10" xr:uid="{8C5477C2-13FC-4F55-AAB3-60246BBB7A64}"/>
    <dataValidation allowBlank="1" showInputMessage="1" showErrorMessage="1" prompt="הזן את העלויות השיווק בטבלה 'עלויות שיווק מתוכננות' שמתחילה בתא משמאל. ההוראה הבאה נמצאת בתא A30." sqref="A21" xr:uid="{66411362-0BD5-4E49-BFA8-E0A0A55D07AD}"/>
    <dataValidation allowBlank="1" showInputMessage="1" showErrorMessage="1" prompt="הסכומים הכוללים מחושבים באופן אוטומטי בטבלה שמתחילה בתא משמאל." sqref="A30" xr:uid="{6B0B8404-700F-48B3-AD96-0ED1CE7011E9}"/>
    <dataValidation allowBlank="1" showInputMessage="1" showErrorMessage="1" prompt="הזן עלויות עובדים מתוכננות, עלויות משרדיות, עלויות שיווק וכן עלות הדרכה או עלות נסיעה בטבלאות המתאימות בגיליון עבודה זה. הסכומים הכוללים מחושבים באופן אוטומטי. הוראות לשימוש בגיליון עבודה זה נמצאות בתאים בעמודה זו. לחץ על חץ למטה כדי להתחיל בעבודה." sqref="A1" xr:uid="{C6D84CBA-4A3E-4161-9004-1D9F785E5541}"/>
    <dataValidation allowBlank="1" showInputMessage="1" showErrorMessage="1" prompt="הזן את שם החברה בתא משמאל ואת הסמל שלה בתא N2. הכותרת של גיליון עבודה זה נמצאת בתא K2." sqref="A2" xr:uid="{B4473BB7-021E-4A63-A5F5-4234C1B5B724}"/>
    <dataValidation allowBlank="1" showInputMessage="1" showErrorMessage="1" prompt="העצה מופיעה בתא K3." sqref="A3" xr:uid="{3ECF8058-2463-465E-ADF4-F540ECB4A91E}"/>
  </dataValidations>
  <pageMargins left="0.7" right="0.7" top="0.75" bottom="0.75" header="0.3" footer="0.3"/>
  <pageSetup paperSize="9" fitToHeight="0" orientation="portrait" r:id="rId1"/>
  <ignoredErrors>
    <ignoredError sqref="C6:N6 C36:O37" calculatedColumn="1"/>
    <ignoredError sqref="O12" emptyCellReference="1"/>
  </ignoredErrors>
  <drawing r:id="rId2"/>
  <tableParts count="5">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7"/>
    <pageSetUpPr autoPageBreaks="0"/>
  </sheetPr>
  <dimension ref="A1:P38"/>
  <sheetViews>
    <sheetView showGridLines="0" rightToLeft="1" zoomScaleNormal="100" workbookViewId="0"/>
  </sheetViews>
  <sheetFormatPr defaultColWidth="9.140625" defaultRowHeight="21" customHeight="1" x14ac:dyDescent="0.25"/>
  <cols>
    <col min="1" max="1" width="4.7109375" style="9" customWidth="1"/>
    <col min="2" max="2" width="40.5703125" style="47" customWidth="1"/>
    <col min="3" max="14" width="17.5703125" style="47" customWidth="1"/>
    <col min="15" max="15" width="18.5703125" style="47" customWidth="1"/>
    <col min="16" max="16" width="4.7109375" style="9" customWidth="1"/>
    <col min="17" max="16384" width="9.140625" style="47"/>
  </cols>
  <sheetData>
    <row r="1" spans="1:16" s="9" customFormat="1" ht="24" customHeight="1" x14ac:dyDescent="0.25">
      <c r="A1" s="5"/>
      <c r="B1" s="6"/>
      <c r="C1" s="6"/>
      <c r="D1" s="6"/>
      <c r="E1" s="6"/>
      <c r="F1" s="7"/>
      <c r="G1" s="7"/>
      <c r="H1" s="7"/>
      <c r="I1" s="7"/>
      <c r="J1" s="7"/>
      <c r="K1" s="7"/>
      <c r="L1" s="7"/>
      <c r="M1" s="7"/>
      <c r="N1" s="7"/>
      <c r="O1" s="7"/>
      <c r="P1" s="8" t="s">
        <v>51</v>
      </c>
    </row>
    <row r="2" spans="1:16" s="9" customFormat="1" ht="45" customHeight="1" x14ac:dyDescent="0.25">
      <c r="A2" s="10"/>
      <c r="B2" s="11" t="str">
        <f>'הוצאות מתוכננות'!B2:D3</f>
        <v>שם החברה</v>
      </c>
      <c r="C2" s="11"/>
      <c r="D2" s="11"/>
      <c r="E2" s="12"/>
      <c r="F2" s="13"/>
      <c r="G2" s="13"/>
      <c r="H2" s="13"/>
      <c r="I2" s="13"/>
      <c r="J2" s="13"/>
      <c r="K2" s="128" t="str">
        <f>worksheet_title</f>
        <v>פירוט ההוצאות המשוערות</v>
      </c>
      <c r="L2" s="128"/>
      <c r="M2" s="128"/>
      <c r="N2" s="14"/>
      <c r="O2" s="14"/>
      <c r="P2" s="7"/>
    </row>
    <row r="3" spans="1:16" s="9" customFormat="1" ht="30" customHeight="1" x14ac:dyDescent="0.25">
      <c r="A3" s="10"/>
      <c r="B3" s="11"/>
      <c r="C3" s="11"/>
      <c r="D3" s="11"/>
      <c r="E3" s="15"/>
      <c r="F3" s="16"/>
      <c r="G3" s="16"/>
      <c r="H3" s="16"/>
      <c r="I3" s="16"/>
      <c r="J3" s="16"/>
      <c r="K3" s="130" t="s">
        <v>45</v>
      </c>
      <c r="L3" s="130"/>
      <c r="M3" s="130"/>
      <c r="N3" s="14"/>
      <c r="O3" s="14"/>
      <c r="P3" s="7"/>
    </row>
    <row r="4" spans="1:16" s="20" customFormat="1" ht="49.5" customHeight="1" x14ac:dyDescent="0.25">
      <c r="A4" s="17"/>
      <c r="B4" s="18" t="s">
        <v>52</v>
      </c>
      <c r="C4" s="70" t="s">
        <v>36</v>
      </c>
      <c r="D4" s="70" t="s">
        <v>37</v>
      </c>
      <c r="E4" s="70" t="s">
        <v>38</v>
      </c>
      <c r="F4" s="70" t="s">
        <v>39</v>
      </c>
      <c r="G4" s="70" t="s">
        <v>40</v>
      </c>
      <c r="H4" s="70" t="s">
        <v>41</v>
      </c>
      <c r="I4" s="70" t="s">
        <v>42</v>
      </c>
      <c r="J4" s="70" t="s">
        <v>43</v>
      </c>
      <c r="K4" s="70" t="s">
        <v>46</v>
      </c>
      <c r="L4" s="70" t="s">
        <v>47</v>
      </c>
      <c r="M4" s="70" t="s">
        <v>48</v>
      </c>
      <c r="N4" s="70" t="s">
        <v>49</v>
      </c>
      <c r="O4" s="70" t="s">
        <v>50</v>
      </c>
      <c r="P4" s="19"/>
    </row>
    <row r="5" spans="1:16" ht="24.95" customHeight="1" thickBot="1" x14ac:dyDescent="0.3">
      <c r="A5" s="17"/>
      <c r="B5" s="21" t="s">
        <v>10</v>
      </c>
      <c r="C5" s="91" t="s">
        <v>36</v>
      </c>
      <c r="D5" s="80" t="s">
        <v>37</v>
      </c>
      <c r="E5" s="80" t="s">
        <v>38</v>
      </c>
      <c r="F5" s="80" t="s">
        <v>39</v>
      </c>
      <c r="G5" s="80" t="s">
        <v>40</v>
      </c>
      <c r="H5" s="80" t="s">
        <v>41</v>
      </c>
      <c r="I5" s="80" t="s">
        <v>42</v>
      </c>
      <c r="J5" s="80" t="s">
        <v>43</v>
      </c>
      <c r="K5" s="80" t="s">
        <v>46</v>
      </c>
      <c r="L5" s="80" t="s">
        <v>47</v>
      </c>
      <c r="M5" s="80" t="s">
        <v>48</v>
      </c>
      <c r="N5" s="80" t="s">
        <v>49</v>
      </c>
      <c r="O5" s="81" t="s">
        <v>50</v>
      </c>
      <c r="P5" s="22"/>
    </row>
    <row r="6" spans="1:16" ht="24.95" customHeight="1" thickBot="1" x14ac:dyDescent="0.3">
      <c r="A6" s="17"/>
      <c r="B6" s="23" t="s">
        <v>11</v>
      </c>
      <c r="C6" s="102">
        <v>85000</v>
      </c>
      <c r="D6" s="103">
        <v>85000</v>
      </c>
      <c r="E6" s="103">
        <v>85000</v>
      </c>
      <c r="F6" s="103">
        <v>88000</v>
      </c>
      <c r="G6" s="103">
        <v>88000</v>
      </c>
      <c r="H6" s="103">
        <v>88000</v>
      </c>
      <c r="I6" s="103"/>
      <c r="J6" s="103"/>
      <c r="K6" s="103"/>
      <c r="L6" s="103"/>
      <c r="M6" s="103"/>
      <c r="N6" s="103"/>
      <c r="O6" s="104">
        <f>SUM(C6:N6)</f>
        <v>519000</v>
      </c>
      <c r="P6" s="22"/>
    </row>
    <row r="7" spans="1:16" ht="24.95" customHeight="1" thickBot="1" x14ac:dyDescent="0.3">
      <c r="A7" s="17"/>
      <c r="B7" s="23" t="s">
        <v>12</v>
      </c>
      <c r="C7" s="102">
        <f t="shared" ref="C7:N7" si="0">C6*0.27</f>
        <v>22950</v>
      </c>
      <c r="D7" s="103">
        <f t="shared" si="0"/>
        <v>22950</v>
      </c>
      <c r="E7" s="103">
        <f t="shared" si="0"/>
        <v>22950</v>
      </c>
      <c r="F7" s="103">
        <f t="shared" si="0"/>
        <v>23760</v>
      </c>
      <c r="G7" s="103">
        <f t="shared" si="0"/>
        <v>23760</v>
      </c>
      <c r="H7" s="103">
        <f t="shared" si="0"/>
        <v>23760</v>
      </c>
      <c r="I7" s="103">
        <f t="shared" si="0"/>
        <v>0</v>
      </c>
      <c r="J7" s="103">
        <f t="shared" si="0"/>
        <v>0</v>
      </c>
      <c r="K7" s="103">
        <f t="shared" si="0"/>
        <v>0</v>
      </c>
      <c r="L7" s="103">
        <f t="shared" si="0"/>
        <v>0</v>
      </c>
      <c r="M7" s="103">
        <f t="shared" si="0"/>
        <v>0</v>
      </c>
      <c r="N7" s="103">
        <f t="shared" si="0"/>
        <v>0</v>
      </c>
      <c r="O7" s="104">
        <f>SUM(C7:N7)</f>
        <v>140130</v>
      </c>
      <c r="P7" s="22"/>
    </row>
    <row r="8" spans="1:16" ht="24.95" customHeight="1" x14ac:dyDescent="0.25">
      <c r="A8" s="17"/>
      <c r="B8" s="37" t="s">
        <v>13</v>
      </c>
      <c r="C8" s="107">
        <f>SUBTOTAL(109,EmployeeActual[ינו])</f>
        <v>107950</v>
      </c>
      <c r="D8" s="105">
        <f>SUBTOTAL(109,EmployeeActual[פבר])</f>
        <v>107950</v>
      </c>
      <c r="E8" s="105">
        <f>SUBTOTAL(109,EmployeeActual[מרץ])</f>
        <v>107950</v>
      </c>
      <c r="F8" s="105">
        <f>SUBTOTAL(109,EmployeeActual[אפר])</f>
        <v>111760</v>
      </c>
      <c r="G8" s="105">
        <f>SUBTOTAL(109,EmployeeActual[מאי])</f>
        <v>111760</v>
      </c>
      <c r="H8" s="105">
        <f>SUBTOTAL(109,EmployeeActual[יונ])</f>
        <v>111760</v>
      </c>
      <c r="I8" s="105">
        <f>SUBTOTAL(109,EmployeeActual[יול])</f>
        <v>0</v>
      </c>
      <c r="J8" s="105">
        <f>SUBTOTAL(109,EmployeeActual[אוג])</f>
        <v>0</v>
      </c>
      <c r="K8" s="105">
        <f>SUBTOTAL(109,EmployeeActual[ספט])</f>
        <v>0</v>
      </c>
      <c r="L8" s="105">
        <f>SUBTOTAL(109,EmployeeActual[אוק])</f>
        <v>0</v>
      </c>
      <c r="M8" s="105">
        <f>SUBTOTAL(109,EmployeeActual[נוב])</f>
        <v>0</v>
      </c>
      <c r="N8" s="105">
        <f>SUBTOTAL(109,EmployeeActual[דצמ])</f>
        <v>0</v>
      </c>
      <c r="O8" s="106">
        <f>SUBTOTAL(109,EmployeeActual[שנה])</f>
        <v>659130</v>
      </c>
      <c r="P8" s="22"/>
    </row>
    <row r="9" spans="1:16" s="9" customFormat="1" ht="21" customHeight="1" x14ac:dyDescent="0.25">
      <c r="A9" s="17"/>
      <c r="B9" s="25"/>
      <c r="C9" s="25"/>
      <c r="D9" s="74"/>
      <c r="E9" s="74"/>
      <c r="F9" s="74"/>
      <c r="G9" s="74"/>
      <c r="H9" s="74"/>
      <c r="I9" s="74"/>
      <c r="J9" s="74"/>
      <c r="K9" s="74"/>
      <c r="L9" s="74"/>
      <c r="M9" s="74"/>
      <c r="N9" s="74"/>
      <c r="O9" s="75"/>
      <c r="P9" s="22"/>
    </row>
    <row r="10" spans="1:16" ht="24.95" customHeight="1" thickBot="1" x14ac:dyDescent="0.3">
      <c r="A10" s="17"/>
      <c r="B10" s="38" t="s">
        <v>14</v>
      </c>
      <c r="C10" s="91" t="s">
        <v>36</v>
      </c>
      <c r="D10" s="80" t="s">
        <v>37</v>
      </c>
      <c r="E10" s="80" t="s">
        <v>38</v>
      </c>
      <c r="F10" s="80" t="s">
        <v>39</v>
      </c>
      <c r="G10" s="80" t="s">
        <v>40</v>
      </c>
      <c r="H10" s="80" t="s">
        <v>41</v>
      </c>
      <c r="I10" s="80" t="s">
        <v>42</v>
      </c>
      <c r="J10" s="80" t="s">
        <v>43</v>
      </c>
      <c r="K10" s="80" t="s">
        <v>46</v>
      </c>
      <c r="L10" s="80" t="s">
        <v>47</v>
      </c>
      <c r="M10" s="80" t="s">
        <v>48</v>
      </c>
      <c r="N10" s="80" t="s">
        <v>49</v>
      </c>
      <c r="O10" s="81" t="s">
        <v>50</v>
      </c>
      <c r="P10" s="22"/>
    </row>
    <row r="11" spans="1:16" ht="24.95" customHeight="1" thickBot="1" x14ac:dyDescent="0.3">
      <c r="A11" s="17"/>
      <c r="B11" s="23" t="s">
        <v>15</v>
      </c>
      <c r="C11" s="102">
        <v>9800</v>
      </c>
      <c r="D11" s="103">
        <v>9800</v>
      </c>
      <c r="E11" s="103">
        <v>9800</v>
      </c>
      <c r="F11" s="103">
        <v>9800</v>
      </c>
      <c r="G11" s="103">
        <v>9800</v>
      </c>
      <c r="H11" s="103">
        <v>9800</v>
      </c>
      <c r="I11" s="103"/>
      <c r="J11" s="103"/>
      <c r="K11" s="103"/>
      <c r="L11" s="103"/>
      <c r="M11" s="103"/>
      <c r="N11" s="103"/>
      <c r="O11" s="104">
        <f t="shared" ref="O11:O18" si="1">SUM(C11:N11)</f>
        <v>58800</v>
      </c>
      <c r="P11" s="22"/>
    </row>
    <row r="12" spans="1:16" ht="24.95" customHeight="1" thickBot="1" x14ac:dyDescent="0.3">
      <c r="A12" s="17"/>
      <c r="B12" s="23" t="s">
        <v>16</v>
      </c>
      <c r="C12" s="102">
        <v>4</v>
      </c>
      <c r="D12" s="103">
        <v>430</v>
      </c>
      <c r="E12" s="103">
        <v>385</v>
      </c>
      <c r="F12" s="103">
        <v>230</v>
      </c>
      <c r="G12" s="103">
        <v>87</v>
      </c>
      <c r="H12" s="103">
        <v>88</v>
      </c>
      <c r="I12" s="103"/>
      <c r="J12" s="103"/>
      <c r="K12" s="103"/>
      <c r="L12" s="103"/>
      <c r="M12" s="103"/>
      <c r="N12" s="103"/>
      <c r="O12" s="104">
        <f t="shared" si="1"/>
        <v>1224</v>
      </c>
      <c r="P12" s="22"/>
    </row>
    <row r="13" spans="1:16" ht="24.95" customHeight="1" thickBot="1" x14ac:dyDescent="0.3">
      <c r="A13" s="17"/>
      <c r="B13" s="23" t="s">
        <v>17</v>
      </c>
      <c r="C13" s="102">
        <v>288</v>
      </c>
      <c r="D13" s="103">
        <v>278</v>
      </c>
      <c r="E13" s="103">
        <v>268</v>
      </c>
      <c r="F13" s="103">
        <v>299</v>
      </c>
      <c r="G13" s="103">
        <v>306</v>
      </c>
      <c r="H13" s="103">
        <v>290</v>
      </c>
      <c r="I13" s="103"/>
      <c r="J13" s="103"/>
      <c r="K13" s="103"/>
      <c r="L13" s="103"/>
      <c r="M13" s="103"/>
      <c r="N13" s="103"/>
      <c r="O13" s="104">
        <f t="shared" si="1"/>
        <v>1729</v>
      </c>
      <c r="P13" s="22"/>
    </row>
    <row r="14" spans="1:16" ht="24.95" customHeight="1" thickBot="1" x14ac:dyDescent="0.3">
      <c r="A14" s="17"/>
      <c r="B14" s="23" t="s">
        <v>18</v>
      </c>
      <c r="C14" s="102">
        <v>35</v>
      </c>
      <c r="D14" s="103">
        <v>33</v>
      </c>
      <c r="E14" s="103">
        <v>34</v>
      </c>
      <c r="F14" s="103">
        <v>36</v>
      </c>
      <c r="G14" s="103">
        <v>34</v>
      </c>
      <c r="H14" s="103">
        <v>36</v>
      </c>
      <c r="I14" s="103"/>
      <c r="J14" s="103"/>
      <c r="K14" s="103"/>
      <c r="L14" s="103"/>
      <c r="M14" s="103"/>
      <c r="N14" s="103"/>
      <c r="O14" s="104">
        <f t="shared" si="1"/>
        <v>208</v>
      </c>
      <c r="P14" s="22"/>
    </row>
    <row r="15" spans="1:16" ht="24.95" customHeight="1" thickBot="1" x14ac:dyDescent="0.3">
      <c r="A15" s="17"/>
      <c r="B15" s="23" t="s">
        <v>19</v>
      </c>
      <c r="C15" s="102">
        <v>224</v>
      </c>
      <c r="D15" s="103">
        <v>235</v>
      </c>
      <c r="E15" s="103">
        <v>265</v>
      </c>
      <c r="F15" s="103">
        <v>245</v>
      </c>
      <c r="G15" s="103">
        <v>245</v>
      </c>
      <c r="H15" s="103">
        <v>220</v>
      </c>
      <c r="I15" s="103"/>
      <c r="J15" s="103"/>
      <c r="K15" s="103"/>
      <c r="L15" s="103"/>
      <c r="M15" s="103"/>
      <c r="N15" s="103"/>
      <c r="O15" s="104">
        <f t="shared" si="1"/>
        <v>1434</v>
      </c>
      <c r="P15" s="22"/>
    </row>
    <row r="16" spans="1:16" ht="24.95" customHeight="1" thickBot="1" x14ac:dyDescent="0.3">
      <c r="A16" s="17"/>
      <c r="B16" s="23" t="s">
        <v>20</v>
      </c>
      <c r="C16" s="102">
        <v>180</v>
      </c>
      <c r="D16" s="103">
        <v>180</v>
      </c>
      <c r="E16" s="103">
        <v>180</v>
      </c>
      <c r="F16" s="103">
        <v>180</v>
      </c>
      <c r="G16" s="103">
        <v>180</v>
      </c>
      <c r="H16" s="103">
        <v>180</v>
      </c>
      <c r="I16" s="103"/>
      <c r="J16" s="103"/>
      <c r="K16" s="103"/>
      <c r="L16" s="103"/>
      <c r="M16" s="103"/>
      <c r="N16" s="103"/>
      <c r="O16" s="104">
        <f t="shared" si="1"/>
        <v>1080</v>
      </c>
      <c r="P16" s="22"/>
    </row>
    <row r="17" spans="1:16" ht="24.95" customHeight="1" thickBot="1" x14ac:dyDescent="0.3">
      <c r="A17" s="17"/>
      <c r="B17" s="23" t="s">
        <v>21</v>
      </c>
      <c r="C17" s="102">
        <v>256</v>
      </c>
      <c r="D17" s="103">
        <v>142</v>
      </c>
      <c r="E17" s="103">
        <v>160</v>
      </c>
      <c r="F17" s="103">
        <v>221</v>
      </c>
      <c r="G17" s="103">
        <v>256</v>
      </c>
      <c r="H17" s="103">
        <v>240</v>
      </c>
      <c r="I17" s="103"/>
      <c r="J17" s="103"/>
      <c r="K17" s="103"/>
      <c r="L17" s="103"/>
      <c r="M17" s="103"/>
      <c r="N17" s="103"/>
      <c r="O17" s="104">
        <f t="shared" si="1"/>
        <v>1275</v>
      </c>
      <c r="P17" s="22"/>
    </row>
    <row r="18" spans="1:16" ht="24.95" customHeight="1" thickBot="1" x14ac:dyDescent="0.3">
      <c r="A18" s="17"/>
      <c r="B18" s="23" t="s">
        <v>22</v>
      </c>
      <c r="C18" s="102">
        <v>600</v>
      </c>
      <c r="D18" s="103">
        <v>600</v>
      </c>
      <c r="E18" s="103">
        <v>600</v>
      </c>
      <c r="F18" s="103">
        <v>600</v>
      </c>
      <c r="G18" s="103">
        <v>600</v>
      </c>
      <c r="H18" s="103">
        <v>600</v>
      </c>
      <c r="I18" s="103"/>
      <c r="J18" s="103"/>
      <c r="K18" s="103"/>
      <c r="L18" s="103"/>
      <c r="M18" s="103"/>
      <c r="N18" s="103"/>
      <c r="O18" s="104">
        <f t="shared" si="1"/>
        <v>3600</v>
      </c>
      <c r="P18" s="22"/>
    </row>
    <row r="19" spans="1:16" ht="24.95" customHeight="1" x14ac:dyDescent="0.25">
      <c r="A19" s="17"/>
      <c r="B19" s="39" t="s">
        <v>13</v>
      </c>
      <c r="C19" s="105">
        <f>SUBTOTAL(109,OfficeActual[ינו])</f>
        <v>11387</v>
      </c>
      <c r="D19" s="105">
        <f>SUBTOTAL(109,OfficeActual[פבר])</f>
        <v>11698</v>
      </c>
      <c r="E19" s="105">
        <f>SUBTOTAL(109,OfficeActual[מרץ])</f>
        <v>11692</v>
      </c>
      <c r="F19" s="105">
        <f>SUBTOTAL(109,OfficeActual[אפר])</f>
        <v>11611</v>
      </c>
      <c r="G19" s="105">
        <f>SUBTOTAL(109,OfficeActual[מאי])</f>
        <v>11508</v>
      </c>
      <c r="H19" s="105">
        <f>SUBTOTAL(109,OfficeActual[יונ])</f>
        <v>11454</v>
      </c>
      <c r="I19" s="105">
        <f>SUBTOTAL(109,OfficeActual[יול])</f>
        <v>0</v>
      </c>
      <c r="J19" s="105">
        <f>SUBTOTAL(109,OfficeActual[אוג])</f>
        <v>0</v>
      </c>
      <c r="K19" s="105">
        <f>SUBTOTAL(109,OfficeActual[ספט])</f>
        <v>0</v>
      </c>
      <c r="L19" s="105">
        <f>SUBTOTAL(109,OfficeActual[אוק])</f>
        <v>0</v>
      </c>
      <c r="M19" s="105">
        <f>SUBTOTAL(109,OfficeActual[נוב])</f>
        <v>0</v>
      </c>
      <c r="N19" s="105">
        <f>SUBTOTAL(109,OfficeActual[דצמ])</f>
        <v>0</v>
      </c>
      <c r="O19" s="106">
        <f>SUBTOTAL(109,OfficeActual[שנה])</f>
        <v>69350</v>
      </c>
      <c r="P19" s="22"/>
    </row>
    <row r="20" spans="1:16" ht="21" customHeight="1" x14ac:dyDescent="0.25">
      <c r="A20" s="17"/>
      <c r="B20" s="29"/>
      <c r="C20" s="29"/>
      <c r="D20" s="74"/>
      <c r="E20" s="74"/>
      <c r="F20" s="79"/>
      <c r="G20" s="79"/>
      <c r="H20" s="79"/>
      <c r="I20" s="79"/>
      <c r="J20" s="79"/>
      <c r="K20" s="79"/>
      <c r="L20" s="79"/>
      <c r="M20" s="79"/>
      <c r="N20" s="79"/>
      <c r="O20" s="75"/>
      <c r="P20" s="22"/>
    </row>
    <row r="21" spans="1:16" ht="24.95" customHeight="1" thickBot="1" x14ac:dyDescent="0.3">
      <c r="A21" s="17"/>
      <c r="B21" s="40" t="s">
        <v>23</v>
      </c>
      <c r="C21" s="91" t="s">
        <v>36</v>
      </c>
      <c r="D21" s="80" t="s">
        <v>37</v>
      </c>
      <c r="E21" s="80" t="s">
        <v>38</v>
      </c>
      <c r="F21" s="80" t="s">
        <v>39</v>
      </c>
      <c r="G21" s="80" t="s">
        <v>40</v>
      </c>
      <c r="H21" s="80" t="s">
        <v>41</v>
      </c>
      <c r="I21" s="80" t="s">
        <v>42</v>
      </c>
      <c r="J21" s="80" t="s">
        <v>43</v>
      </c>
      <c r="K21" s="80" t="s">
        <v>46</v>
      </c>
      <c r="L21" s="80" t="s">
        <v>47</v>
      </c>
      <c r="M21" s="80" t="s">
        <v>48</v>
      </c>
      <c r="N21" s="80" t="s">
        <v>49</v>
      </c>
      <c r="O21" s="81" t="s">
        <v>50</v>
      </c>
      <c r="P21" s="22"/>
    </row>
    <row r="22" spans="1:16" ht="24.95" customHeight="1" thickBot="1" x14ac:dyDescent="0.3">
      <c r="A22" s="17"/>
      <c r="B22" s="23" t="s">
        <v>24</v>
      </c>
      <c r="C22" s="102">
        <v>500</v>
      </c>
      <c r="D22" s="103">
        <v>500</v>
      </c>
      <c r="E22" s="103">
        <v>500</v>
      </c>
      <c r="F22" s="103">
        <v>500</v>
      </c>
      <c r="G22" s="103">
        <v>500</v>
      </c>
      <c r="H22" s="103">
        <v>500</v>
      </c>
      <c r="I22" s="103"/>
      <c r="J22" s="103"/>
      <c r="K22" s="103"/>
      <c r="L22" s="103"/>
      <c r="M22" s="103"/>
      <c r="N22" s="103"/>
      <c r="O22" s="104">
        <f t="shared" ref="O22:O27" si="2">SUM(C22:N22)</f>
        <v>3000</v>
      </c>
      <c r="P22" s="22"/>
    </row>
    <row r="23" spans="1:16" ht="24.95" customHeight="1" thickBot="1" x14ac:dyDescent="0.3">
      <c r="A23" s="17"/>
      <c r="B23" s="23" t="s">
        <v>25</v>
      </c>
      <c r="C23" s="102">
        <v>200</v>
      </c>
      <c r="D23" s="103">
        <v>200</v>
      </c>
      <c r="E23" s="103">
        <v>200</v>
      </c>
      <c r="F23" s="103">
        <v>200</v>
      </c>
      <c r="G23" s="103">
        <v>200</v>
      </c>
      <c r="H23" s="103">
        <v>1500</v>
      </c>
      <c r="I23" s="103"/>
      <c r="J23" s="103"/>
      <c r="K23" s="103"/>
      <c r="L23" s="103"/>
      <c r="M23" s="103"/>
      <c r="N23" s="103"/>
      <c r="O23" s="104">
        <f t="shared" si="2"/>
        <v>2500</v>
      </c>
      <c r="P23" s="22"/>
    </row>
    <row r="24" spans="1:16" ht="24.95" customHeight="1" thickBot="1" x14ac:dyDescent="0.3">
      <c r="A24" s="17"/>
      <c r="B24" s="23" t="s">
        <v>26</v>
      </c>
      <c r="C24" s="102">
        <v>4800</v>
      </c>
      <c r="D24" s="103">
        <v>0</v>
      </c>
      <c r="E24" s="103">
        <v>0</v>
      </c>
      <c r="F24" s="103">
        <v>5500</v>
      </c>
      <c r="G24" s="103">
        <v>0</v>
      </c>
      <c r="H24" s="103">
        <v>0</v>
      </c>
      <c r="I24" s="103"/>
      <c r="J24" s="103"/>
      <c r="K24" s="103"/>
      <c r="L24" s="103"/>
      <c r="M24" s="103"/>
      <c r="N24" s="103"/>
      <c r="O24" s="104">
        <f t="shared" si="2"/>
        <v>10300</v>
      </c>
      <c r="P24" s="22"/>
    </row>
    <row r="25" spans="1:16" ht="24.95" customHeight="1" thickBot="1" x14ac:dyDescent="0.3">
      <c r="A25" s="17"/>
      <c r="B25" s="23" t="s">
        <v>27</v>
      </c>
      <c r="C25" s="102">
        <v>100</v>
      </c>
      <c r="D25" s="103">
        <v>500</v>
      </c>
      <c r="E25" s="103">
        <v>100</v>
      </c>
      <c r="F25" s="103">
        <v>100</v>
      </c>
      <c r="G25" s="103">
        <v>600</v>
      </c>
      <c r="H25" s="103">
        <v>180</v>
      </c>
      <c r="I25" s="103"/>
      <c r="J25" s="103"/>
      <c r="K25" s="103"/>
      <c r="L25" s="103"/>
      <c r="M25" s="103"/>
      <c r="N25" s="103"/>
      <c r="O25" s="104">
        <f t="shared" si="2"/>
        <v>1580</v>
      </c>
      <c r="P25" s="22"/>
    </row>
    <row r="26" spans="1:16" ht="24.95" customHeight="1" thickBot="1" x14ac:dyDescent="0.3">
      <c r="A26" s="17"/>
      <c r="B26" s="23" t="s">
        <v>28</v>
      </c>
      <c r="C26" s="102">
        <v>1800</v>
      </c>
      <c r="D26" s="103">
        <v>2200</v>
      </c>
      <c r="E26" s="103">
        <v>2200</v>
      </c>
      <c r="F26" s="103">
        <v>4700</v>
      </c>
      <c r="G26" s="103">
        <v>1500</v>
      </c>
      <c r="H26" s="103">
        <v>2300</v>
      </c>
      <c r="I26" s="103"/>
      <c r="J26" s="103"/>
      <c r="K26" s="103"/>
      <c r="L26" s="103"/>
      <c r="M26" s="103"/>
      <c r="N26" s="103"/>
      <c r="O26" s="104">
        <f t="shared" si="2"/>
        <v>14700</v>
      </c>
      <c r="P26" s="22"/>
    </row>
    <row r="27" spans="1:16" ht="24.95" customHeight="1" thickBot="1" x14ac:dyDescent="0.3">
      <c r="A27" s="17"/>
      <c r="B27" s="23" t="s">
        <v>29</v>
      </c>
      <c r="C27" s="102">
        <v>145</v>
      </c>
      <c r="D27" s="103">
        <v>156</v>
      </c>
      <c r="E27" s="103">
        <v>123</v>
      </c>
      <c r="F27" s="103">
        <v>223</v>
      </c>
      <c r="G27" s="103">
        <v>187</v>
      </c>
      <c r="H27" s="103">
        <v>245</v>
      </c>
      <c r="I27" s="103"/>
      <c r="J27" s="103"/>
      <c r="K27" s="103"/>
      <c r="L27" s="103"/>
      <c r="M27" s="103"/>
      <c r="N27" s="103"/>
      <c r="O27" s="104">
        <f t="shared" si="2"/>
        <v>1079</v>
      </c>
      <c r="P27" s="22"/>
    </row>
    <row r="28" spans="1:16" ht="24.95" customHeight="1" x14ac:dyDescent="0.25">
      <c r="A28" s="17"/>
      <c r="B28" s="41" t="s">
        <v>13</v>
      </c>
      <c r="C28" s="97">
        <f>SUBTOTAL(109,MarketingActual[ינו])</f>
        <v>7545</v>
      </c>
      <c r="D28" s="105">
        <f>SUBTOTAL(109,MarketingActual[פבר])</f>
        <v>3556</v>
      </c>
      <c r="E28" s="105">
        <f>SUBTOTAL(109,MarketingActual[מרץ])</f>
        <v>3123</v>
      </c>
      <c r="F28" s="105">
        <f>SUBTOTAL(109,MarketingActual[אפר])</f>
        <v>11223</v>
      </c>
      <c r="G28" s="105">
        <f>SUBTOTAL(109,MarketingActual[מאי])</f>
        <v>2987</v>
      </c>
      <c r="H28" s="105">
        <f>SUBTOTAL(109,MarketingActual[יונ])</f>
        <v>4725</v>
      </c>
      <c r="I28" s="105">
        <f>SUBTOTAL(109,MarketingActual[יול])</f>
        <v>0</v>
      </c>
      <c r="J28" s="105">
        <f>SUBTOTAL(109,MarketingActual[אוג])</f>
        <v>0</v>
      </c>
      <c r="K28" s="105">
        <f>SUBTOTAL(109,MarketingActual[ספט])</f>
        <v>0</v>
      </c>
      <c r="L28" s="105">
        <f>SUBTOTAL(109,MarketingActual[אוק])</f>
        <v>0</v>
      </c>
      <c r="M28" s="105">
        <f>SUBTOTAL(109,MarketingActual[נוב])</f>
        <v>0</v>
      </c>
      <c r="N28" s="105">
        <f>SUBTOTAL(109,MarketingActual[דצמ])</f>
        <v>0</v>
      </c>
      <c r="O28" s="106">
        <f>SUBTOTAL(109,MarketingActual[שנה])</f>
        <v>33159</v>
      </c>
      <c r="P28" s="22"/>
    </row>
    <row r="29" spans="1:16" ht="21" customHeight="1" x14ac:dyDescent="0.25">
      <c r="A29" s="17"/>
      <c r="B29" s="25"/>
      <c r="C29" s="25"/>
      <c r="D29" s="79"/>
      <c r="E29" s="79"/>
      <c r="F29" s="79"/>
      <c r="G29" s="79"/>
      <c r="H29" s="79"/>
      <c r="I29" s="79"/>
      <c r="J29" s="79"/>
      <c r="K29" s="79"/>
      <c r="L29" s="79"/>
      <c r="M29" s="79"/>
      <c r="N29" s="79"/>
      <c r="O29" s="75"/>
      <c r="P29" s="22"/>
    </row>
    <row r="30" spans="1:16" ht="24.95" customHeight="1" thickBot="1" x14ac:dyDescent="0.3">
      <c r="A30" s="17"/>
      <c r="B30" s="32" t="s">
        <v>30</v>
      </c>
      <c r="C30" s="80" t="s">
        <v>36</v>
      </c>
      <c r="D30" s="80" t="s">
        <v>37</v>
      </c>
      <c r="E30" s="80" t="s">
        <v>38</v>
      </c>
      <c r="F30" s="80" t="s">
        <v>39</v>
      </c>
      <c r="G30" s="80" t="s">
        <v>40</v>
      </c>
      <c r="H30" s="80" t="s">
        <v>41</v>
      </c>
      <c r="I30" s="80" t="s">
        <v>42</v>
      </c>
      <c r="J30" s="80" t="s">
        <v>43</v>
      </c>
      <c r="K30" s="80" t="s">
        <v>46</v>
      </c>
      <c r="L30" s="80" t="s">
        <v>47</v>
      </c>
      <c r="M30" s="80" t="s">
        <v>48</v>
      </c>
      <c r="N30" s="80" t="s">
        <v>49</v>
      </c>
      <c r="O30" s="81" t="s">
        <v>50</v>
      </c>
      <c r="P30" s="22"/>
    </row>
    <row r="31" spans="1:16" ht="24.95" customHeight="1" thickBot="1" x14ac:dyDescent="0.3">
      <c r="A31" s="17"/>
      <c r="B31" s="42" t="s">
        <v>31</v>
      </c>
      <c r="C31" s="103">
        <v>1600</v>
      </c>
      <c r="D31" s="103">
        <v>2400</v>
      </c>
      <c r="E31" s="103">
        <v>1400</v>
      </c>
      <c r="F31" s="103">
        <v>1600</v>
      </c>
      <c r="G31" s="103">
        <v>1200</v>
      </c>
      <c r="H31" s="103">
        <v>2800</v>
      </c>
      <c r="I31" s="103"/>
      <c r="J31" s="103"/>
      <c r="K31" s="103"/>
      <c r="L31" s="103"/>
      <c r="M31" s="103"/>
      <c r="N31" s="103"/>
      <c r="O31" s="104">
        <f>SUM(C31:N31)</f>
        <v>11000</v>
      </c>
      <c r="P31" s="22"/>
    </row>
    <row r="32" spans="1:16" ht="24.95" customHeight="1" thickBot="1" x14ac:dyDescent="0.3">
      <c r="A32" s="17"/>
      <c r="B32" s="42" t="s">
        <v>32</v>
      </c>
      <c r="C32" s="103">
        <v>1200</v>
      </c>
      <c r="D32" s="103">
        <v>2200</v>
      </c>
      <c r="E32" s="103">
        <v>1400</v>
      </c>
      <c r="F32" s="103">
        <v>1200</v>
      </c>
      <c r="G32" s="103">
        <v>800</v>
      </c>
      <c r="H32" s="103">
        <v>3500</v>
      </c>
      <c r="I32" s="103"/>
      <c r="J32" s="103"/>
      <c r="K32" s="103"/>
      <c r="L32" s="103"/>
      <c r="M32" s="103"/>
      <c r="N32" s="103"/>
      <c r="O32" s="104">
        <f>SUM(C32:N32)</f>
        <v>10300</v>
      </c>
      <c r="P32" s="22"/>
    </row>
    <row r="33" spans="1:16" ht="24.95" customHeight="1" x14ac:dyDescent="0.25">
      <c r="A33" s="17"/>
      <c r="B33" s="39" t="s">
        <v>13</v>
      </c>
      <c r="C33" s="105">
        <f>SUBTOTAL(109,TrainingAndTravelActual[ינו])</f>
        <v>2800</v>
      </c>
      <c r="D33" s="105">
        <f>SUBTOTAL(109,TrainingAndTravelActual[פבר])</f>
        <v>4600</v>
      </c>
      <c r="E33" s="105">
        <f>SUBTOTAL(109,TrainingAndTravelActual[מרץ])</f>
        <v>2800</v>
      </c>
      <c r="F33" s="105">
        <f>SUBTOTAL(109,TrainingAndTravelActual[אפר])</f>
        <v>2800</v>
      </c>
      <c r="G33" s="105">
        <f>SUBTOTAL(109,TrainingAndTravelActual[מאי])</f>
        <v>2000</v>
      </c>
      <c r="H33" s="105">
        <f>SUBTOTAL(109,TrainingAndTravelActual[יונ])</f>
        <v>6300</v>
      </c>
      <c r="I33" s="105">
        <f>SUBTOTAL(109,TrainingAndTravelActual[יול])</f>
        <v>0</v>
      </c>
      <c r="J33" s="105">
        <f>SUBTOTAL(109,TrainingAndTravelActual[אוג])</f>
        <v>0</v>
      </c>
      <c r="K33" s="105">
        <f>SUBTOTAL(109,TrainingAndTravelActual[ספט])</f>
        <v>0</v>
      </c>
      <c r="L33" s="105">
        <f>SUBTOTAL(109,TrainingAndTravelActual[אוק])</f>
        <v>0</v>
      </c>
      <c r="M33" s="105">
        <f>SUBTOTAL(109,TrainingAndTravelActual[נוב])</f>
        <v>0</v>
      </c>
      <c r="N33" s="105">
        <f>SUBTOTAL(109,TrainingAndTravelActual[דצמ])</f>
        <v>0</v>
      </c>
      <c r="O33" s="106">
        <f>SUBTOTAL(109,TrainingAndTravelActual[שנה])</f>
        <v>21300</v>
      </c>
      <c r="P33" s="22"/>
    </row>
    <row r="34" spans="1:16" ht="21" customHeight="1" x14ac:dyDescent="0.25">
      <c r="A34" s="17"/>
      <c r="B34" s="25"/>
      <c r="C34" s="25"/>
      <c r="D34" s="75"/>
      <c r="E34" s="75"/>
      <c r="F34" s="75"/>
      <c r="G34" s="75"/>
      <c r="H34" s="75"/>
      <c r="I34" s="75"/>
      <c r="J34" s="75"/>
      <c r="K34" s="75"/>
      <c r="L34" s="75"/>
      <c r="M34" s="75"/>
      <c r="N34" s="75"/>
      <c r="O34" s="75"/>
      <c r="P34" s="22"/>
    </row>
    <row r="35" spans="1:16" ht="24.95" customHeight="1" thickBot="1" x14ac:dyDescent="0.3">
      <c r="A35" s="17"/>
      <c r="B35" s="43" t="s">
        <v>35</v>
      </c>
      <c r="C35" s="44" t="s">
        <v>36</v>
      </c>
      <c r="D35" s="44" t="s">
        <v>37</v>
      </c>
      <c r="E35" s="44" t="s">
        <v>38</v>
      </c>
      <c r="F35" s="44" t="s">
        <v>39</v>
      </c>
      <c r="G35" s="44" t="s">
        <v>40</v>
      </c>
      <c r="H35" s="44" t="s">
        <v>41</v>
      </c>
      <c r="I35" s="44" t="s">
        <v>42</v>
      </c>
      <c r="J35" s="44" t="s">
        <v>43</v>
      </c>
      <c r="K35" s="44" t="s">
        <v>46</v>
      </c>
      <c r="L35" s="44" t="s">
        <v>47</v>
      </c>
      <c r="M35" s="44" t="s">
        <v>48</v>
      </c>
      <c r="N35" s="44" t="s">
        <v>49</v>
      </c>
      <c r="O35" s="45" t="s">
        <v>50</v>
      </c>
      <c r="P35" s="22"/>
    </row>
    <row r="36" spans="1:16" ht="24.95" customHeight="1" thickBot="1" x14ac:dyDescent="0.3">
      <c r="A36" s="17"/>
      <c r="B36" s="46" t="s">
        <v>53</v>
      </c>
      <c r="C36" s="92">
        <f>TrainingAndTravelActual[[#Totals],[ינו]]+MarketingActual[[#Totals],[ינו]]+OfficeActual[[#Totals],[ינו]]+EmployeeActual[[#Totals],[ינו]]</f>
        <v>129682</v>
      </c>
      <c r="D36" s="93">
        <f>TrainingAndTravelActual[[#Totals],[פבר]]+MarketingActual[[#Totals],[פבר]]+OfficeActual[[#Totals],[פבר]]+EmployeeActual[[#Totals],[פבר]]</f>
        <v>127804</v>
      </c>
      <c r="E36" s="93">
        <f>TrainingAndTravelActual[[#Totals],[מרץ]]+MarketingActual[[#Totals],[מרץ]]+OfficeActual[[#Totals],[מרץ]]+EmployeeActual[[#Totals],[מרץ]]</f>
        <v>125565</v>
      </c>
      <c r="F36" s="93">
        <f>TrainingAndTravelActual[[#Totals],[אפר]]+MarketingActual[[#Totals],[אפר]]+OfficeActual[[#Totals],[אפר]]+EmployeeActual[[#Totals],[אפר]]</f>
        <v>137394</v>
      </c>
      <c r="G36" s="93">
        <f>TrainingAndTravelActual[[#Totals],[מאי]]+MarketingActual[[#Totals],[מאי]]+OfficeActual[[#Totals],[מאי]]+EmployeeActual[[#Totals],[מאי]]</f>
        <v>128255</v>
      </c>
      <c r="H36" s="93">
        <f>TrainingAndTravelActual[[#Totals],[יונ]]+MarketingActual[[#Totals],[יונ]]+OfficeActual[[#Totals],[יונ]]+EmployeeActual[[#Totals],[יונ]]</f>
        <v>134239</v>
      </c>
      <c r="I36" s="93">
        <f>TrainingAndTravelActual[[#Totals],[יול]]+MarketingActual[[#Totals],[יול]]+OfficeActual[[#Totals],[יול]]+EmployeeActual[[#Totals],[יול]]</f>
        <v>0</v>
      </c>
      <c r="J36" s="93">
        <f>TrainingAndTravelActual[[#Totals],[אוג]]+MarketingActual[[#Totals],[אוג]]+OfficeActual[[#Totals],[אוג]]+EmployeeActual[[#Totals],[אוג]]</f>
        <v>0</v>
      </c>
      <c r="K36" s="93">
        <f>TrainingAndTravelActual[[#Totals],[ספט]]+MarketingActual[[#Totals],[ספט]]+OfficeActual[[#Totals],[ספט]]+EmployeeActual[[#Totals],[ספט]]</f>
        <v>0</v>
      </c>
      <c r="L36" s="93">
        <f>TrainingAndTravelActual[[#Totals],[אוק]]+MarketingActual[[#Totals],[אוק]]+OfficeActual[[#Totals],[אוק]]+EmployeeActual[[#Totals],[אוק]]</f>
        <v>0</v>
      </c>
      <c r="M36" s="93">
        <f>TrainingAndTravelActual[[#Totals],[נוב]]+MarketingActual[[#Totals],[נוב]]+OfficeActual[[#Totals],[נוב]]+EmployeeActual[[#Totals],[נוב]]</f>
        <v>0</v>
      </c>
      <c r="N36" s="93">
        <f>TrainingAndTravelActual[[#Totals],[דצמ]]+MarketingActual[[#Totals],[דצמ]]+OfficeActual[[#Totals],[דצמ]]+EmployeeActual[[#Totals],[דצמ]]</f>
        <v>0</v>
      </c>
      <c r="O36" s="93">
        <f>TrainingAndTravelActual[[#Totals],[שנה]]+MarketingActual[[#Totals],[שנה]]+OfficeActual[[#Totals],[שנה]]+EmployeeActual[[#Totals],[שנה]]</f>
        <v>782939</v>
      </c>
      <c r="P36" s="69"/>
    </row>
    <row r="37" spans="1:16" ht="24.95" customHeight="1" thickBot="1" x14ac:dyDescent="0.3">
      <c r="A37" s="17"/>
      <c r="B37" s="46" t="s">
        <v>54</v>
      </c>
      <c r="C37" s="94">
        <f>SUM($C$36:C36)</f>
        <v>129682</v>
      </c>
      <c r="D37" s="95">
        <f>SUM($C$36:D36)</f>
        <v>257486</v>
      </c>
      <c r="E37" s="95">
        <f>SUM($C$36:E36)</f>
        <v>383051</v>
      </c>
      <c r="F37" s="95">
        <f>SUM($C$36:F36)</f>
        <v>520445</v>
      </c>
      <c r="G37" s="95">
        <f>SUM($C$36:G36)</f>
        <v>648700</v>
      </c>
      <c r="H37" s="96">
        <f>SUM($C$36:H36)</f>
        <v>782939</v>
      </c>
      <c r="I37" s="95">
        <f>SUM($C$36:I36)</f>
        <v>782939</v>
      </c>
      <c r="J37" s="95">
        <f>SUM($C$36:J36)</f>
        <v>782939</v>
      </c>
      <c r="K37" s="95">
        <f>SUM($C$36:K36)</f>
        <v>782939</v>
      </c>
      <c r="L37" s="95">
        <f>SUM($C$36:L36)</f>
        <v>782939</v>
      </c>
      <c r="M37" s="96">
        <f>SUM($C$36:M36)</f>
        <v>782939</v>
      </c>
      <c r="N37" s="95">
        <f>SUM($C$36:N36)</f>
        <v>782939</v>
      </c>
      <c r="O37" s="96"/>
      <c r="P37" s="69"/>
    </row>
    <row r="38" spans="1:16" ht="21" customHeight="1" x14ac:dyDescent="0.25">
      <c r="L38" s="48"/>
      <c r="M38" s="48"/>
      <c r="N38" s="48"/>
      <c r="O38" s="48"/>
    </row>
  </sheetData>
  <mergeCells count="2">
    <mergeCell ref="K2:M2"/>
    <mergeCell ref="K3:M3"/>
  </mergeCells>
  <dataValidations count="9">
    <dataValidation allowBlank="1" showInputMessage="1" showErrorMessage="1" prompt="מציין המיקום של הסמל מופיע בתא זה." sqref="N2" xr:uid="{C95257D8-3930-4F5C-8D70-88B292233801}"/>
    <dataValidation allowBlank="1" showInputMessage="1" showErrorMessage="1" prompt="ההוצאות הכוללות בפועל מחושבות באופן אוטומטי בטבלה שמתחילה בתא משמאל." sqref="A4" xr:uid="{177C6CBD-70F5-4EE0-A8BD-78C9CA33B2BD}"/>
    <dataValidation allowBlank="1" showInputMessage="1" showErrorMessage="1" prompt="הזן את עלויות העובדים בפועל בטבלה שמתחילה בתא משמאל. ההוראה הבאה נמצאת בתא A10." sqref="A5" xr:uid="{C3141D3D-0B91-4F53-BE3F-38687FD87D6B}"/>
    <dataValidation allowBlank="1" showInputMessage="1" showErrorMessage="1" prompt="הזן את העלויות המשרדיות בטבלה 'עלויות משרדיות בפועל' שמתחילה בתא משמאל. ההוראה הבאה נמצאת בתא A21." sqref="A10" xr:uid="{6B251561-6C81-4CE6-8EBF-9D5790C7CB5E}"/>
    <dataValidation allowBlank="1" showInputMessage="1" showErrorMessage="1" prompt="הזן את העלויות השיווק בטבלה 'הוצאות שיווק בפועל' שמתחילה בתא משמאל. ההוראה הבאה נמצאת בתא A30." sqref="A21" xr:uid="{D284BFB1-3C99-4A34-BA1D-2099E5838FB2}"/>
    <dataValidation allowBlank="1" showInputMessage="1" showErrorMessage="1" prompt="הזן את עלויות ההדרכה והנסיעה בפועל בטבלה שמתחילה בתא משמאל. ההוראה הבאה נמצאת בתא A35." sqref="A30" xr:uid="{255C7F8A-67BD-4F48-9D93-C907D407CF4C}"/>
    <dataValidation allowBlank="1" showInputMessage="1" showErrorMessage="1" prompt="הזן עלויות עובדים מתוכננות, עלויות משרדיות, עלויות שיווק וכן עלות הדרכה או עלות נסיעה בטבלאות המתאימות בגיליון עבודה זה. הסכומים הכוללים מחושבים באופן אוטומטי. הוראות לשימוש בגיליון עבודה זה נמצאות בתאים בעמודה זו. לחץ על חץ למטה כדי להתחיל בעבודה." sqref="A1" xr:uid="{79AE6394-A51C-466A-B4A1-C38D88BF4EBB}"/>
    <dataValidation allowBlank="1" showInputMessage="1" showErrorMessage="1" prompt="שם החברה מעודכן באופן אוטומטי בתא משמאל. כותרת של גיליון עבודה זה נמצאת בתא K2. הזן סמל בתא N2." sqref="A2" xr:uid="{26A4B1D9-8F73-440F-9A07-A3F7DBC9AEEF}"/>
    <dataValidation allowBlank="1" showInputMessage="1" showErrorMessage="1" prompt="העצה מופיעה בתא K3." sqref="A3" xr:uid="{7DD6B845-A534-4A07-B96C-7DC7C0D747FC}"/>
  </dataValidations>
  <pageMargins left="0.7" right="0.7" top="0.75" bottom="0.75" header="0.3" footer="0.3"/>
  <pageSetup paperSize="9" fitToHeight="0" orientation="portrait" r:id="rId1"/>
  <ignoredErrors>
    <ignoredError sqref="B2 O31:O33 O22:O28 O11:O19" emptyCellReference="1"/>
    <ignoredError sqref="C36:O37 C7:H7 C6:N6 O7" calculatedColumn="1"/>
    <ignoredError sqref="O6 I7:N7" emptyCellReference="1" calculatedColumn="1"/>
  </ignoredErrors>
  <drawing r:id="rId2"/>
  <tableParts count="5">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pageSetUpPr autoPageBreaks="0"/>
  </sheetPr>
  <dimension ref="A1:P38"/>
  <sheetViews>
    <sheetView showGridLines="0" rightToLeft="1" zoomScaleNormal="100" workbookViewId="0"/>
  </sheetViews>
  <sheetFormatPr defaultColWidth="9.140625" defaultRowHeight="21" customHeight="1" x14ac:dyDescent="0.25"/>
  <cols>
    <col min="1" max="1" width="4.7109375" style="9" customWidth="1"/>
    <col min="2" max="2" width="40.5703125" style="47" customWidth="1"/>
    <col min="3" max="14" width="17.5703125" style="47" customWidth="1"/>
    <col min="15" max="15" width="18.5703125" style="47" customWidth="1"/>
    <col min="16" max="16" width="4.7109375" style="9" customWidth="1"/>
    <col min="17" max="16384" width="9.140625" style="47"/>
  </cols>
  <sheetData>
    <row r="1" spans="1:16" s="9" customFormat="1" ht="24" customHeight="1" x14ac:dyDescent="0.25">
      <c r="A1" s="5"/>
      <c r="B1" s="6"/>
      <c r="C1" s="6"/>
      <c r="D1" s="6"/>
      <c r="E1" s="6"/>
      <c r="F1" s="7"/>
      <c r="G1" s="7"/>
      <c r="H1" s="7"/>
      <c r="I1" s="7"/>
      <c r="J1" s="7"/>
      <c r="K1" s="7"/>
      <c r="L1" s="7"/>
      <c r="M1" s="7"/>
      <c r="N1" s="7"/>
      <c r="O1" s="7"/>
      <c r="P1" s="8" t="s">
        <v>51</v>
      </c>
    </row>
    <row r="2" spans="1:16" s="9" customFormat="1" ht="45" customHeight="1" x14ac:dyDescent="0.25">
      <c r="A2" s="10"/>
      <c r="B2" s="11" t="str">
        <f>'הוצאות מתוכננות'!B2:D3</f>
        <v>שם החברה</v>
      </c>
      <c r="C2" s="11"/>
      <c r="D2" s="11"/>
      <c r="E2" s="12"/>
      <c r="F2" s="13"/>
      <c r="G2" s="13"/>
      <c r="H2" s="13"/>
      <c r="I2" s="13"/>
      <c r="J2" s="13"/>
      <c r="K2" s="128" t="str">
        <f>worksheet_title</f>
        <v>פירוט ההוצאות המשוערות</v>
      </c>
      <c r="L2" s="128"/>
      <c r="M2" s="128"/>
      <c r="N2" s="14"/>
      <c r="O2" s="14"/>
      <c r="P2" s="7"/>
    </row>
    <row r="3" spans="1:16" s="9" customFormat="1" ht="30" customHeight="1" x14ac:dyDescent="0.25">
      <c r="A3" s="10"/>
      <c r="B3" s="11"/>
      <c r="C3" s="11"/>
      <c r="D3" s="11"/>
      <c r="E3" s="15"/>
      <c r="F3" s="16"/>
      <c r="G3" s="16"/>
      <c r="H3" s="16"/>
      <c r="I3" s="16"/>
      <c r="J3" s="16"/>
      <c r="K3" s="130" t="s">
        <v>45</v>
      </c>
      <c r="L3" s="130"/>
      <c r="M3" s="130"/>
      <c r="N3" s="14"/>
      <c r="O3" s="14"/>
      <c r="P3" s="7"/>
    </row>
    <row r="4" spans="1:16" s="20" customFormat="1" ht="49.5" customHeight="1" x14ac:dyDescent="0.25">
      <c r="A4" s="17"/>
      <c r="B4" s="18" t="s">
        <v>55</v>
      </c>
      <c r="C4" s="70" t="s">
        <v>36</v>
      </c>
      <c r="D4" s="70" t="s">
        <v>37</v>
      </c>
      <c r="E4" s="70" t="s">
        <v>38</v>
      </c>
      <c r="F4" s="70" t="s">
        <v>39</v>
      </c>
      <c r="G4" s="70" t="s">
        <v>40</v>
      </c>
      <c r="H4" s="70" t="s">
        <v>41</v>
      </c>
      <c r="I4" s="70" t="s">
        <v>42</v>
      </c>
      <c r="J4" s="70" t="s">
        <v>43</v>
      </c>
      <c r="K4" s="70" t="s">
        <v>46</v>
      </c>
      <c r="L4" s="70" t="s">
        <v>47</v>
      </c>
      <c r="M4" s="70" t="s">
        <v>48</v>
      </c>
      <c r="N4" s="70" t="s">
        <v>49</v>
      </c>
      <c r="O4" s="70" t="s">
        <v>50</v>
      </c>
      <c r="P4" s="19"/>
    </row>
    <row r="5" spans="1:16" ht="24.95" customHeight="1" thickBot="1" x14ac:dyDescent="0.3">
      <c r="A5" s="17"/>
      <c r="B5" s="32" t="s">
        <v>10</v>
      </c>
      <c r="C5" s="98" t="s">
        <v>36</v>
      </c>
      <c r="D5" s="98" t="s">
        <v>37</v>
      </c>
      <c r="E5" s="98" t="s">
        <v>38</v>
      </c>
      <c r="F5" s="98" t="s">
        <v>39</v>
      </c>
      <c r="G5" s="98" t="s">
        <v>40</v>
      </c>
      <c r="H5" s="98" t="s">
        <v>41</v>
      </c>
      <c r="I5" s="98" t="s">
        <v>42</v>
      </c>
      <c r="J5" s="98" t="s">
        <v>43</v>
      </c>
      <c r="K5" s="98" t="s">
        <v>46</v>
      </c>
      <c r="L5" s="98" t="s">
        <v>47</v>
      </c>
      <c r="M5" s="98" t="s">
        <v>48</v>
      </c>
      <c r="N5" s="98" t="s">
        <v>49</v>
      </c>
      <c r="O5" s="99" t="s">
        <v>50</v>
      </c>
      <c r="P5" s="22"/>
    </row>
    <row r="6" spans="1:16" ht="24.95" customHeight="1" thickBot="1" x14ac:dyDescent="0.3">
      <c r="A6" s="17"/>
      <c r="B6" s="23" t="s">
        <v>11</v>
      </c>
      <c r="C6" s="102">
        <f>INDEX(EmployeePlan[],MATCH(INDEX(EmployeeVariances[],ROW()-ROW(EmployeeVariances[[#Headers],[ינו]]),1),INDEX(EmployeePlan[],,1),0),MATCH(EmployeeVariances[[#Headers],[ינו]],EmployeePlan[#Headers],0))-INDEX(EmployeeActual[],MATCH(INDEX(EmployeeVariances[],ROW()-ROW(EmployeeVariances[[#Headers],[ינו]]),1),INDEX(EmployeePlan[],,1),0),MATCH(EmployeeVariances[[#Headers],[ינו]],EmployeeActual[#Headers],0))</f>
        <v>0</v>
      </c>
      <c r="D6" s="103">
        <f>INDEX(EmployeePlan[],MATCH(INDEX(EmployeeVariances[],ROW()-ROW(EmployeeVariances[[#Headers],[פבר]]),1),INDEX(EmployeePlan[],,1),0),MATCH(EmployeeVariances[[#Headers],[פבר]],EmployeePlan[#Headers],0))-INDEX(EmployeeActual[],MATCH(INDEX(EmployeeVariances[],ROW()-ROW(EmployeeVariances[[#Headers],[פבר]]),1),INDEX(EmployeePlan[],,1),0),MATCH(EmployeeVariances[[#Headers],[פבר]],EmployeeActual[#Headers],0))</f>
        <v>0</v>
      </c>
      <c r="E6" s="103">
        <f>INDEX(EmployeePlan[],MATCH(INDEX(EmployeeVariances[],ROW()-ROW(EmployeeVariances[[#Headers],[מרץ]]),1),INDEX(EmployeePlan[],,1),0),MATCH(EmployeeVariances[[#Headers],[מרץ]],EmployeePlan[#Headers],0))-INDEX(EmployeeActual[],MATCH(INDEX(EmployeeVariances[],ROW()-ROW(EmployeeVariances[[#Headers],[מרץ]]),1),INDEX(EmployeePlan[],,1),0),MATCH(EmployeeVariances[[#Headers],[מרץ]],EmployeeActual[#Headers],0))</f>
        <v>0</v>
      </c>
      <c r="F6" s="103">
        <f>INDEX(EmployeePlan[],MATCH(INDEX(EmployeeVariances[],ROW()-ROW(EmployeeVariances[[#Headers],[אפר]]),1),INDEX(EmployeePlan[],,1),0),MATCH(EmployeeVariances[[#Headers],[אפר]],EmployeePlan[#Headers],0))-INDEX(EmployeeActual[],MATCH(INDEX(EmployeeVariances[],ROW()-ROW(EmployeeVariances[[#Headers],[אפר]]),1),INDEX(EmployeePlan[],,1),0),MATCH(EmployeeVariances[[#Headers],[אפר]],EmployeeActual[#Headers],0))</f>
        <v>-500</v>
      </c>
      <c r="G6" s="103">
        <f>INDEX(EmployeePlan[],MATCH(INDEX(EmployeeVariances[],ROW()-ROW(EmployeeVariances[[#Headers],[מאי]]),1),INDEX(EmployeePlan[],,1),0),MATCH(EmployeeVariances[[#Headers],[מאי]],EmployeePlan[#Headers],0))-INDEX(EmployeeActual[],MATCH(INDEX(EmployeeVariances[],ROW()-ROW(EmployeeVariances[[#Headers],[מאי]]),1),INDEX(EmployeePlan[],,1),0),MATCH(EmployeeVariances[[#Headers],[מאי]],EmployeeActual[#Headers],0))</f>
        <v>-500</v>
      </c>
      <c r="H6" s="103">
        <f>INDEX(EmployeePlan[],MATCH(INDEX(EmployeeVariances[],ROW()-ROW(EmployeeVariances[[#Headers],[יונ]]),1),INDEX(EmployeePlan[],,1),0),MATCH(EmployeeVariances[[#Headers],[יונ]],EmployeePlan[#Headers],0))-INDEX(EmployeeActual[],MATCH(INDEX(EmployeeVariances[],ROW()-ROW(EmployeeVariances[[#Headers],[יונ]]),1),INDEX(EmployeePlan[],,1),0),MATCH(EmployeeVariances[[#Headers],[יונ]],EmployeeActual[#Headers],0))</f>
        <v>-500</v>
      </c>
      <c r="I6" s="103">
        <f>INDEX(EmployeePlan[],MATCH(INDEX(EmployeeVariances[],ROW()-ROW(EmployeeVariances[[#Headers],[יול]]),1),INDEX(EmployeePlan[],,1),0),MATCH(EmployeeVariances[[#Headers],[יול]],EmployeePlan[#Headers],0))-INDEX(EmployeeActual[],MATCH(INDEX(EmployeeVariances[],ROW()-ROW(EmployeeVariances[[#Headers],[יול]]),1),INDEX(EmployeePlan[],,1),0),MATCH(EmployeeVariances[[#Headers],[יול]],EmployeeActual[#Headers],0))</f>
        <v>87500</v>
      </c>
      <c r="J6" s="103">
        <f>INDEX(EmployeePlan[],MATCH(INDEX(EmployeeVariances[],ROW()-ROW(EmployeeVariances[[#Headers],[אוג]]),1),INDEX(EmployeePlan[],,1),0),MATCH(EmployeeVariances[[#Headers],[אוג]],EmployeePlan[#Headers],0))-INDEX(EmployeeActual[],MATCH(INDEX(EmployeeVariances[],ROW()-ROW(EmployeeVariances[[#Headers],[אוג]]),1),INDEX(EmployeePlan[],,1),0),MATCH(EmployeeVariances[[#Headers],[אוג]],EmployeeActual[#Headers],0))</f>
        <v>92400</v>
      </c>
      <c r="K6" s="103">
        <f>INDEX(EmployeePlan[],MATCH(INDEX(EmployeeVariances[],ROW()-ROW(EmployeeVariances[[#Headers],[ספט]]),1),INDEX(EmployeePlan[],,1),0),MATCH(EmployeeVariances[[#Headers],[ספט]],EmployeePlan[#Headers],0))-INDEX(EmployeeActual[],MATCH(INDEX(EmployeeVariances[],ROW()-ROW(EmployeeVariances[[#Headers],[ספט]]),1),INDEX(EmployeePlan[],,1),0),MATCH(EmployeeVariances[[#Headers],[ספט]],EmployeeActual[#Headers],0))</f>
        <v>92400</v>
      </c>
      <c r="L6" s="103">
        <f>INDEX(EmployeePlan[],MATCH(INDEX(EmployeeVariances[],ROW()-ROW(EmployeeVariances[[#Headers],[אוק]]),1),INDEX(EmployeePlan[],,1),0),MATCH(EmployeeVariances[[#Headers],[אוק]],EmployeePlan[#Headers],0))-INDEX(EmployeeActual[],MATCH(INDEX(EmployeeVariances[],ROW()-ROW(EmployeeVariances[[#Headers],[אוק]]),1),INDEX(EmployeePlan[],,1),0),MATCH(EmployeeVariances[[#Headers],[אוק]],EmployeeActual[#Headers],0))</f>
        <v>92400</v>
      </c>
      <c r="M6" s="103">
        <f>INDEX(EmployeePlan[],MATCH(INDEX(EmployeeVariances[],ROW()-ROW(EmployeeVariances[[#Headers],[נוב]]),1),INDEX(EmployeePlan[],,1),0),MATCH(EmployeeVariances[[#Headers],[נוב]],EmployeePlan[#Headers],0))-INDEX(EmployeeActual[],MATCH(INDEX(EmployeeVariances[],ROW()-ROW(EmployeeVariances[[#Headers],[נוב]]),1),INDEX(EmployeePlan[],,1),0),MATCH(EmployeeVariances[[#Headers],[נוב]],EmployeeActual[#Headers],0))</f>
        <v>92400</v>
      </c>
      <c r="N6" s="103">
        <f>INDEX(EmployeePlan[],MATCH(INDEX(EmployeeVariances[],ROW()-ROW(EmployeeVariances[[#Headers],[דצמ]]),1),INDEX(EmployeePlan[],,1),0),MATCH(EmployeeVariances[[#Headers],[דצמ]],EmployeePlan[#Headers],0))-INDEX(EmployeeActual[],MATCH(INDEX(EmployeeVariances[],ROW()-ROW(EmployeeVariances[[#Headers],[דצמ]]),1),INDEX(EmployeePlan[],,1),0),MATCH(EmployeeVariances[[#Headers],[דצמ]],EmployeeActual[#Headers],0))</f>
        <v>92400</v>
      </c>
      <c r="O6" s="104">
        <f>SUM(EmployeeVariances[[#This Row],[ינו]:[דצמ]])</f>
        <v>548000</v>
      </c>
      <c r="P6" s="22"/>
    </row>
    <row r="7" spans="1:16" ht="24.95" customHeight="1" thickBot="1" x14ac:dyDescent="0.3">
      <c r="A7" s="17"/>
      <c r="B7" s="23" t="s">
        <v>12</v>
      </c>
      <c r="C7" s="102">
        <f>INDEX(EmployeePlan[],MATCH(INDEX(EmployeeVariances[],ROW()-ROW(EmployeeVariances[[#Headers],[ינו]]),1),INDEX(EmployeePlan[],,1),0),MATCH(EmployeeVariances[[#Headers],[ינו]],EmployeePlan[#Headers],0))-INDEX(EmployeeActual[],MATCH(INDEX(EmployeeVariances[],ROW()-ROW(EmployeeVariances[[#Headers],[ינו]]),1),INDEX(EmployeePlan[],,1),0),MATCH(EmployeeVariances[[#Headers],[ינו]],EmployeeActual[#Headers],0))</f>
        <v>0</v>
      </c>
      <c r="D7" s="103">
        <f>INDEX(EmployeePlan[],MATCH(INDEX(EmployeeVariances[],ROW()-ROW(EmployeeVariances[[#Headers],[פבר]]),1),INDEX(EmployeePlan[],,1),0),MATCH(EmployeeVariances[[#Headers],[פבר]],EmployeePlan[#Headers],0))-INDEX(EmployeeActual[],MATCH(INDEX(EmployeeVariances[],ROW()-ROW(EmployeeVariances[[#Headers],[פבר]]),1),INDEX(EmployeePlan[],,1),0),MATCH(EmployeeVariances[[#Headers],[פבר]],EmployeeActual[#Headers],0))</f>
        <v>0</v>
      </c>
      <c r="E7" s="103">
        <f>INDEX(EmployeePlan[],MATCH(INDEX(EmployeeVariances[],ROW()-ROW(EmployeeVariances[[#Headers],[מרץ]]),1),INDEX(EmployeePlan[],,1),0),MATCH(EmployeeVariances[[#Headers],[מרץ]],EmployeePlan[#Headers],0))-INDEX(EmployeeActual[],MATCH(INDEX(EmployeeVariances[],ROW()-ROW(EmployeeVariances[[#Headers],[מרץ]]),1),INDEX(EmployeePlan[],,1),0),MATCH(EmployeeVariances[[#Headers],[מרץ]],EmployeeActual[#Headers],0))</f>
        <v>0</v>
      </c>
      <c r="F7" s="103">
        <f>INDEX(EmployeePlan[],MATCH(INDEX(EmployeeVariances[],ROW()-ROW(EmployeeVariances[[#Headers],[אפר]]),1),INDEX(EmployeePlan[],,1),0),MATCH(EmployeeVariances[[#Headers],[אפר]],EmployeePlan[#Headers],0))-INDEX(EmployeeActual[],MATCH(INDEX(EmployeeVariances[],ROW()-ROW(EmployeeVariances[[#Headers],[אפר]]),1),INDEX(EmployeePlan[],,1),0),MATCH(EmployeeVariances[[#Headers],[אפר]],EmployeeActual[#Headers],0))</f>
        <v>-135</v>
      </c>
      <c r="G7" s="103">
        <f>INDEX(EmployeePlan[],MATCH(INDEX(EmployeeVariances[],ROW()-ROW(EmployeeVariances[[#Headers],[מאי]]),1),INDEX(EmployeePlan[],,1),0),MATCH(EmployeeVariances[[#Headers],[מאי]],EmployeePlan[#Headers],0))-INDEX(EmployeeActual[],MATCH(INDEX(EmployeeVariances[],ROW()-ROW(EmployeeVariances[[#Headers],[מאי]]),1),INDEX(EmployeePlan[],,1),0),MATCH(EmployeeVariances[[#Headers],[מאי]],EmployeeActual[#Headers],0))</f>
        <v>-135</v>
      </c>
      <c r="H7" s="103">
        <f>INDEX(EmployeePlan[],MATCH(INDEX(EmployeeVariances[],ROW()-ROW(EmployeeVariances[[#Headers],[יונ]]),1),INDEX(EmployeePlan[],,1),0),MATCH(EmployeeVariances[[#Headers],[יונ]],EmployeePlan[#Headers],0))-INDEX(EmployeeActual[],MATCH(INDEX(EmployeeVariances[],ROW()-ROW(EmployeeVariances[[#Headers],[יונ]]),1),INDEX(EmployeePlan[],,1),0),MATCH(EmployeeVariances[[#Headers],[יונ]],EmployeeActual[#Headers],0))</f>
        <v>-135</v>
      </c>
      <c r="I7" s="103">
        <f>INDEX(EmployeePlan[],MATCH(INDEX(EmployeeVariances[],ROW()-ROW(EmployeeVariances[[#Headers],[יול]]),1),INDEX(EmployeePlan[],,1),0),MATCH(EmployeeVariances[[#Headers],[יול]],EmployeePlan[#Headers],0))-INDEX(EmployeeActual[],MATCH(INDEX(EmployeeVariances[],ROW()-ROW(EmployeeVariances[[#Headers],[יול]]),1),INDEX(EmployeePlan[],,1),0),MATCH(EmployeeVariances[[#Headers],[יול]],EmployeeActual[#Headers],0))</f>
        <v>23625</v>
      </c>
      <c r="J7" s="103">
        <f>INDEX(EmployeePlan[],MATCH(INDEX(EmployeeVariances[],ROW()-ROW(EmployeeVariances[[#Headers],[אוג]]),1),INDEX(EmployeePlan[],,1),0),MATCH(EmployeeVariances[[#Headers],[אוג]],EmployeePlan[#Headers],0))-INDEX(EmployeeActual[],MATCH(INDEX(EmployeeVariances[],ROW()-ROW(EmployeeVariances[[#Headers],[אוג]]),1),INDEX(EmployeePlan[],,1),0),MATCH(EmployeeVariances[[#Headers],[אוג]],EmployeeActual[#Headers],0))</f>
        <v>24948</v>
      </c>
      <c r="K7" s="103">
        <f>INDEX(EmployeePlan[],MATCH(INDEX(EmployeeVariances[],ROW()-ROW(EmployeeVariances[[#Headers],[ספט]]),1),INDEX(EmployeePlan[],,1),0),MATCH(EmployeeVariances[[#Headers],[ספט]],EmployeePlan[#Headers],0))-INDEX(EmployeeActual[],MATCH(INDEX(EmployeeVariances[],ROW()-ROW(EmployeeVariances[[#Headers],[ספט]]),1),INDEX(EmployeePlan[],,1),0),MATCH(EmployeeVariances[[#Headers],[ספט]],EmployeeActual[#Headers],0))</f>
        <v>24948</v>
      </c>
      <c r="L7" s="103">
        <f>INDEX(EmployeePlan[],MATCH(INDEX(EmployeeVariances[],ROW()-ROW(EmployeeVariances[[#Headers],[אוק]]),1),INDEX(EmployeePlan[],,1),0),MATCH(EmployeeVariances[[#Headers],[אוק]],EmployeePlan[#Headers],0))-INDEX(EmployeeActual[],MATCH(INDEX(EmployeeVariances[],ROW()-ROW(EmployeeVariances[[#Headers],[אוק]]),1),INDEX(EmployeePlan[],,1),0),MATCH(EmployeeVariances[[#Headers],[אוק]],EmployeeActual[#Headers],0))</f>
        <v>24948</v>
      </c>
      <c r="M7" s="103">
        <f>INDEX(EmployeePlan[],MATCH(INDEX(EmployeeVariances[],ROW()-ROW(EmployeeVariances[[#Headers],[נוב]]),1),INDEX(EmployeePlan[],,1),0),MATCH(EmployeeVariances[[#Headers],[נוב]],EmployeePlan[#Headers],0))-INDEX(EmployeeActual[],MATCH(INDEX(EmployeeVariances[],ROW()-ROW(EmployeeVariances[[#Headers],[נוב]]),1),INDEX(EmployeePlan[],,1),0),MATCH(EmployeeVariances[[#Headers],[נוב]],EmployeeActual[#Headers],0))</f>
        <v>24948</v>
      </c>
      <c r="N7" s="103">
        <f>INDEX(EmployeePlan[],MATCH(INDEX(EmployeeVariances[],ROW()-ROW(EmployeeVariances[[#Headers],[דצמ]]),1),INDEX(EmployeePlan[],,1),0),MATCH(EmployeeVariances[[#Headers],[דצמ]],EmployeePlan[#Headers],0))-INDEX(EmployeeActual[],MATCH(INDEX(EmployeeVariances[],ROW()-ROW(EmployeeVariances[[#Headers],[דצמ]]),1),INDEX(EmployeePlan[],,1),0),MATCH(EmployeeVariances[[#Headers],[דצמ]],EmployeeActual[#Headers],0))</f>
        <v>24948</v>
      </c>
      <c r="O7" s="104">
        <f>SUM(EmployeeVariances[[#This Row],[ינו]:[דצמ]])</f>
        <v>147960</v>
      </c>
      <c r="P7" s="22"/>
    </row>
    <row r="8" spans="1:16" ht="24.95" customHeight="1" x14ac:dyDescent="0.25">
      <c r="A8" s="17"/>
      <c r="B8" s="49" t="s">
        <v>13</v>
      </c>
      <c r="C8" s="105">
        <f>SUBTOTAL(109,EmployeeVariances[ינו])</f>
        <v>0</v>
      </c>
      <c r="D8" s="105">
        <f>SUBTOTAL(109,EmployeeVariances[פבר])</f>
        <v>0</v>
      </c>
      <c r="E8" s="105">
        <f>SUBTOTAL(109,EmployeeVariances[מרץ])</f>
        <v>0</v>
      </c>
      <c r="F8" s="105">
        <f>SUBTOTAL(109,EmployeeVariances[אפר])</f>
        <v>-635</v>
      </c>
      <c r="G8" s="105">
        <f>SUBTOTAL(109,EmployeeVariances[מאי])</f>
        <v>-635</v>
      </c>
      <c r="H8" s="105">
        <f>SUBTOTAL(109,EmployeeVariances[יונ])</f>
        <v>-635</v>
      </c>
      <c r="I8" s="105">
        <f>SUBTOTAL(109,EmployeeVariances[יול])</f>
        <v>111125</v>
      </c>
      <c r="J8" s="105">
        <f>SUBTOTAL(109,EmployeeVariances[אוג])</f>
        <v>117348</v>
      </c>
      <c r="K8" s="105">
        <f>SUBTOTAL(109,EmployeeVariances[ספט])</f>
        <v>117348</v>
      </c>
      <c r="L8" s="105">
        <f>SUBTOTAL(109,EmployeeVariances[אוק])</f>
        <v>117348</v>
      </c>
      <c r="M8" s="105">
        <f>SUBTOTAL(109,EmployeeVariances[נוב])</f>
        <v>117348</v>
      </c>
      <c r="N8" s="105">
        <f>SUBTOTAL(109,EmployeeVariances[דצמ])</f>
        <v>117348</v>
      </c>
      <c r="O8" s="106">
        <f>SUBTOTAL(109,EmployeeVariances[שנה])</f>
        <v>695960</v>
      </c>
      <c r="P8" s="22"/>
    </row>
    <row r="9" spans="1:16" ht="21" customHeight="1" x14ac:dyDescent="0.25">
      <c r="A9" s="17"/>
      <c r="B9" s="25"/>
      <c r="C9" s="25"/>
      <c r="D9" s="74"/>
      <c r="E9" s="74"/>
      <c r="F9" s="74"/>
      <c r="G9" s="74"/>
      <c r="H9" s="74"/>
      <c r="I9" s="74"/>
      <c r="J9" s="74"/>
      <c r="K9" s="74"/>
      <c r="L9" s="74"/>
      <c r="M9" s="74"/>
      <c r="N9" s="74"/>
      <c r="O9" s="75"/>
      <c r="P9" s="22"/>
    </row>
    <row r="10" spans="1:16" ht="24.95" customHeight="1" thickBot="1" x14ac:dyDescent="0.3">
      <c r="A10" s="17"/>
      <c r="B10" s="50" t="s">
        <v>14</v>
      </c>
      <c r="C10" s="80" t="s">
        <v>36</v>
      </c>
      <c r="D10" s="80" t="s">
        <v>37</v>
      </c>
      <c r="E10" s="80" t="s">
        <v>38</v>
      </c>
      <c r="F10" s="80" t="s">
        <v>39</v>
      </c>
      <c r="G10" s="80" t="s">
        <v>40</v>
      </c>
      <c r="H10" s="80" t="s">
        <v>41</v>
      </c>
      <c r="I10" s="80" t="s">
        <v>42</v>
      </c>
      <c r="J10" s="80" t="s">
        <v>43</v>
      </c>
      <c r="K10" s="80" t="s">
        <v>46</v>
      </c>
      <c r="L10" s="80" t="s">
        <v>47</v>
      </c>
      <c r="M10" s="80" t="s">
        <v>48</v>
      </c>
      <c r="N10" s="80" t="s">
        <v>49</v>
      </c>
      <c r="O10" s="81" t="s">
        <v>50</v>
      </c>
      <c r="P10" s="22"/>
    </row>
    <row r="11" spans="1:16" ht="24.95" customHeight="1" thickBot="1" x14ac:dyDescent="0.3">
      <c r="A11" s="17"/>
      <c r="B11" s="42" t="s">
        <v>15</v>
      </c>
      <c r="C11" s="103">
        <f>INDEX(OfficePlan[],MATCH(INDEX(OfficeVariances[],ROW()-ROW(OfficeVariances[[#Headers],[ינו]]),1),INDEX(OfficePlan[],,1),0),MATCH(OfficeVariances[[#Headers],[ינו]],OfficePlan[#Headers],0))-INDEX(OfficeActual[],MATCH(INDEX(OfficeVariances[],ROW()-ROW(OfficeVariances[[#Headers],[ינו]]),1),INDEX(OfficePlan[],,1),0),MATCH(OfficeVariances[[#Headers],[ינו]],OfficeActual[#Headers],0))</f>
        <v>0</v>
      </c>
      <c r="D11" s="103">
        <f>INDEX(OfficePlan[],MATCH(INDEX(OfficeVariances[],ROW()-ROW(OfficeVariances[[#Headers],[פבר]]),1),INDEX(OfficePlan[],,1),0),MATCH(OfficeVariances[[#Headers],[פבר]],OfficePlan[#Headers],0))-INDEX(OfficeActual[],MATCH(INDEX(OfficeVariances[],ROW()-ROW(OfficeVariances[[#Headers],[פבר]]),1),INDEX(OfficePlan[],,1),0),MATCH(OfficeVariances[[#Headers],[פבר]],OfficeActual[#Headers],0))</f>
        <v>0</v>
      </c>
      <c r="E11" s="103">
        <f>INDEX(OfficePlan[],MATCH(INDEX(OfficeVariances[],ROW()-ROW(OfficeVariances[[#Headers],[מרץ]]),1),INDEX(OfficePlan[],,1),0),MATCH(OfficeVariances[[#Headers],[מרץ]],OfficePlan[#Headers],0))-INDEX(OfficeActual[],MATCH(INDEX(OfficeVariances[],ROW()-ROW(OfficeVariances[[#Headers],[מרץ]]),1),INDEX(OfficePlan[],,1),0),MATCH(OfficeVariances[[#Headers],[מרץ]],OfficeActual[#Headers],0))</f>
        <v>0</v>
      </c>
      <c r="F11" s="103">
        <f>INDEX(OfficePlan[],MATCH(INDEX(OfficeVariances[],ROW()-ROW(OfficeVariances[[#Headers],[אפר]]),1),INDEX(OfficePlan[],,1),0),MATCH(OfficeVariances[[#Headers],[אפר]],OfficePlan[#Headers],0))-INDEX(OfficeActual[],MATCH(INDEX(OfficeVariances[],ROW()-ROW(OfficeVariances[[#Headers],[אפר]]),1),INDEX(OfficePlan[],,1),0),MATCH(OfficeVariances[[#Headers],[אפר]],OfficeActual[#Headers],0))</f>
        <v>0</v>
      </c>
      <c r="G11" s="103">
        <f>INDEX(OfficePlan[],MATCH(INDEX(OfficeVariances[],ROW()-ROW(OfficeVariances[[#Headers],[מאי]]),1),INDEX(OfficePlan[],,1),0),MATCH(OfficeVariances[[#Headers],[מאי]],OfficePlan[#Headers],0))-INDEX(OfficeActual[],MATCH(INDEX(OfficeVariances[],ROW()-ROW(OfficeVariances[[#Headers],[מאי]]),1),INDEX(OfficePlan[],,1),0),MATCH(OfficeVariances[[#Headers],[מאי]],OfficeActual[#Headers],0))</f>
        <v>0</v>
      </c>
      <c r="H11" s="103">
        <f>INDEX(OfficePlan[],MATCH(INDEX(OfficeVariances[],ROW()-ROW(OfficeVariances[[#Headers],[יונ]]),1),INDEX(OfficePlan[],,1),0),MATCH(OfficeVariances[[#Headers],[יונ]],OfficePlan[#Headers],0))-INDEX(OfficeActual[],MATCH(INDEX(OfficeVariances[],ROW()-ROW(OfficeVariances[[#Headers],[יונ]]),1),INDEX(OfficePlan[],,1),0),MATCH(OfficeVariances[[#Headers],[יונ]],OfficeActual[#Headers],0))</f>
        <v>0</v>
      </c>
      <c r="I11" s="103">
        <f>INDEX(OfficePlan[],MATCH(INDEX(OfficeVariances[],ROW()-ROW(OfficeVariances[[#Headers],[יול]]),1),INDEX(OfficePlan[],,1),0),MATCH(OfficeVariances[[#Headers],[יול]],OfficePlan[#Headers],0))-INDEX(OfficeActual[],MATCH(INDEX(OfficeVariances[],ROW()-ROW(OfficeVariances[[#Headers],[יול]]),1),INDEX(OfficePlan[],,1),0),MATCH(OfficeVariances[[#Headers],[יול]],OfficeActual[#Headers],0))</f>
        <v>9800</v>
      </c>
      <c r="J11" s="103">
        <f>INDEX(OfficePlan[],MATCH(INDEX(OfficeVariances[],ROW()-ROW(OfficeVariances[[#Headers],[אוג]]),1),INDEX(OfficePlan[],,1),0),MATCH(OfficeVariances[[#Headers],[אוג]],OfficePlan[#Headers],0))-INDEX(OfficeActual[],MATCH(INDEX(OfficeVariances[],ROW()-ROW(OfficeVariances[[#Headers],[אוג]]),1),INDEX(OfficePlan[],,1),0),MATCH(OfficeVariances[[#Headers],[אוג]],OfficeActual[#Headers],0))</f>
        <v>9800</v>
      </c>
      <c r="K11" s="103">
        <f>INDEX(OfficePlan[],MATCH(INDEX(OfficeVariances[],ROW()-ROW(OfficeVariances[[#Headers],[ספט]]),1),INDEX(OfficePlan[],,1),0),MATCH(OfficeVariances[[#Headers],[ספט]],OfficePlan[#Headers],0))-INDEX(OfficeActual[],MATCH(INDEX(OfficeVariances[],ROW()-ROW(OfficeVariances[[#Headers],[ספט]]),1),INDEX(OfficePlan[],,1),0),MATCH(OfficeVariances[[#Headers],[ספט]],OfficeActual[#Headers],0))</f>
        <v>9800</v>
      </c>
      <c r="L11" s="103">
        <f>INDEX(OfficePlan[],MATCH(INDEX(OfficeVariances[],ROW()-ROW(OfficeVariances[[#Headers],[אוק]]),1),INDEX(OfficePlan[],,1),0),MATCH(OfficeVariances[[#Headers],[אוק]],OfficePlan[#Headers],0))-INDEX(OfficeActual[],MATCH(INDEX(OfficeVariances[],ROW()-ROW(OfficeVariances[[#Headers],[אוק]]),1),INDEX(OfficePlan[],,1),0),MATCH(OfficeVariances[[#Headers],[אוק]],OfficeActual[#Headers],0))</f>
        <v>9800</v>
      </c>
      <c r="M11" s="103">
        <f>INDEX(OfficePlan[],MATCH(INDEX(OfficeVariances[],ROW()-ROW(OfficeVariances[[#Headers],[נוב]]),1),INDEX(OfficePlan[],,1),0),MATCH(OfficeVariances[[#Headers],[נוב]],OfficePlan[#Headers],0))-INDEX(OfficeActual[],MATCH(INDEX(OfficeVariances[],ROW()-ROW(OfficeVariances[[#Headers],[נוב]]),1),INDEX(OfficePlan[],,1),0),MATCH(OfficeVariances[[#Headers],[נוב]],OfficeActual[#Headers],0))</f>
        <v>9800</v>
      </c>
      <c r="N11" s="103">
        <f>INDEX(OfficePlan[],MATCH(INDEX(OfficeVariances[],ROW()-ROW(OfficeVariances[[#Headers],[דצמ]]),1),INDEX(OfficePlan[],,1),0),MATCH(OfficeVariances[[#Headers],[דצמ]],OfficePlan[#Headers],0))-INDEX(OfficeActual[],MATCH(INDEX(OfficeVariances[],ROW()-ROW(OfficeVariances[[#Headers],[דצמ]]),1),INDEX(OfficePlan[],,1),0),MATCH(OfficeVariances[[#Headers],[דצמ]],OfficeActual[#Headers],0))</f>
        <v>9800</v>
      </c>
      <c r="O11" s="104">
        <f>SUM(OfficeVariances[[#This Row],[ינו]:[דצמ]])</f>
        <v>58800</v>
      </c>
      <c r="P11" s="22"/>
    </row>
    <row r="12" spans="1:16" ht="24.95" customHeight="1" thickBot="1" x14ac:dyDescent="0.3">
      <c r="A12" s="17"/>
      <c r="B12" s="42" t="s">
        <v>16</v>
      </c>
      <c r="C12" s="103">
        <f>INDEX(OfficePlan[],MATCH(INDEX(OfficeVariances[],ROW()-ROW(OfficeVariances[[#Headers],[ינו]]),1),INDEX(OfficePlan[],,1),0),MATCH(OfficeVariances[[#Headers],[ינו]],OfficePlan[#Headers],0))-INDEX(OfficeActual[],MATCH(INDEX(OfficeVariances[],ROW()-ROW(OfficeVariances[[#Headers],[ינו]]),1),INDEX(OfficePlan[],,1),0),MATCH(OfficeVariances[[#Headers],[ינו]],OfficeActual[#Headers],0))</f>
        <v>-4</v>
      </c>
      <c r="D12" s="103">
        <f>INDEX(OfficePlan[],MATCH(INDEX(OfficeVariances[],ROW()-ROW(OfficeVariances[[#Headers],[פבר]]),1),INDEX(OfficePlan[],,1),0),MATCH(OfficeVariances[[#Headers],[פבר]],OfficePlan[#Headers],0))-INDEX(OfficeActual[],MATCH(INDEX(OfficeVariances[],ROW()-ROW(OfficeVariances[[#Headers],[פבר]]),1),INDEX(OfficePlan[],,1),0),MATCH(OfficeVariances[[#Headers],[פבר]],OfficeActual[#Headers],0))</f>
        <v>-30</v>
      </c>
      <c r="E12" s="103">
        <f>INDEX(OfficePlan[],MATCH(INDEX(OfficeVariances[],ROW()-ROW(OfficeVariances[[#Headers],[מרץ]]),1),INDEX(OfficePlan[],,1),0),MATCH(OfficeVariances[[#Headers],[מרץ]],OfficePlan[#Headers],0))-INDEX(OfficeActual[],MATCH(INDEX(OfficeVariances[],ROW()-ROW(OfficeVariances[[#Headers],[מרץ]]),1),INDEX(OfficePlan[],,1),0),MATCH(OfficeVariances[[#Headers],[מרץ]],OfficeActual[#Headers],0))</f>
        <v>15</v>
      </c>
      <c r="F12" s="103">
        <f>INDEX(OfficePlan[],MATCH(INDEX(OfficeVariances[],ROW()-ROW(OfficeVariances[[#Headers],[אפר]]),1),INDEX(OfficePlan[],,1),0),MATCH(OfficeVariances[[#Headers],[אפר]],OfficePlan[#Headers],0))-INDEX(OfficeActual[],MATCH(INDEX(OfficeVariances[],ROW()-ROW(OfficeVariances[[#Headers],[אפר]]),1),INDEX(OfficePlan[],,1),0),MATCH(OfficeVariances[[#Headers],[אפר]],OfficeActual[#Headers],0))</f>
        <v>-130</v>
      </c>
      <c r="G12" s="103">
        <f>INDEX(OfficePlan[],MATCH(INDEX(OfficeVariances[],ROW()-ROW(OfficeVariances[[#Headers],[מאי]]),1),INDEX(OfficePlan[],,1),0),MATCH(OfficeVariances[[#Headers],[מאי]],OfficePlan[#Headers],0))-INDEX(OfficeActual[],MATCH(INDEX(OfficeVariances[],ROW()-ROW(OfficeVariances[[#Headers],[מאי]]),1),INDEX(OfficePlan[],,1),0),MATCH(OfficeVariances[[#Headers],[מאי]],OfficeActual[#Headers],0))</f>
        <v>13</v>
      </c>
      <c r="H12" s="103">
        <f>INDEX(OfficePlan[],MATCH(INDEX(OfficeVariances[],ROW()-ROW(OfficeVariances[[#Headers],[יונ]]),1),INDEX(OfficePlan[],,1),0),MATCH(OfficeVariances[[#Headers],[יונ]],OfficePlan[#Headers],0))-INDEX(OfficeActual[],MATCH(INDEX(OfficeVariances[],ROW()-ROW(OfficeVariances[[#Headers],[יונ]]),1),INDEX(OfficePlan[],,1),0),MATCH(OfficeVariances[[#Headers],[יונ]],OfficeActual[#Headers],0))</f>
        <v>12</v>
      </c>
      <c r="I12" s="103">
        <f>INDEX(OfficePlan[],MATCH(INDEX(OfficeVariances[],ROW()-ROW(OfficeVariances[[#Headers],[יול]]),1),INDEX(OfficePlan[],,1),0),MATCH(OfficeVariances[[#Headers],[יול]],OfficePlan[#Headers],0))-INDEX(OfficeActual[],MATCH(INDEX(OfficeVariances[],ROW()-ROW(OfficeVariances[[#Headers],[יול]]),1),INDEX(OfficePlan[],,1),0),MATCH(OfficeVariances[[#Headers],[יול]],OfficeActual[#Headers],0))</f>
        <v>100</v>
      </c>
      <c r="J12" s="103">
        <f>INDEX(OfficePlan[],MATCH(INDEX(OfficeVariances[],ROW()-ROW(OfficeVariances[[#Headers],[אוג]]),1),INDEX(OfficePlan[],,1),0),MATCH(OfficeVariances[[#Headers],[אוג]],OfficePlan[#Headers],0))-INDEX(OfficeActual[],MATCH(INDEX(OfficeVariances[],ROW()-ROW(OfficeVariances[[#Headers],[אוג]]),1),INDEX(OfficePlan[],,1),0),MATCH(OfficeVariances[[#Headers],[אוג]],OfficeActual[#Headers],0))</f>
        <v>100</v>
      </c>
      <c r="K12" s="103">
        <f>INDEX(OfficePlan[],MATCH(INDEX(OfficeVariances[],ROW()-ROW(OfficeVariances[[#Headers],[ספט]]),1),INDEX(OfficePlan[],,1),0),MATCH(OfficeVariances[[#Headers],[ספט]],OfficePlan[#Headers],0))-INDEX(OfficeActual[],MATCH(INDEX(OfficeVariances[],ROW()-ROW(OfficeVariances[[#Headers],[ספט]]),1),INDEX(OfficePlan[],,1),0),MATCH(OfficeVariances[[#Headers],[ספט]],OfficeActual[#Headers],0))</f>
        <v>100</v>
      </c>
      <c r="L12" s="103">
        <f>INDEX(OfficePlan[],MATCH(INDEX(OfficeVariances[],ROW()-ROW(OfficeVariances[[#Headers],[אוק]]),1),INDEX(OfficePlan[],,1),0),MATCH(OfficeVariances[[#Headers],[אוק]],OfficePlan[#Headers],0))-INDEX(OfficeActual[],MATCH(INDEX(OfficeVariances[],ROW()-ROW(OfficeVariances[[#Headers],[אוק]]),1),INDEX(OfficePlan[],,1),0),MATCH(OfficeVariances[[#Headers],[אוק]],OfficeActual[#Headers],0))</f>
        <v>100</v>
      </c>
      <c r="M12" s="103">
        <f>INDEX(OfficePlan[],MATCH(INDEX(OfficeVariances[],ROW()-ROW(OfficeVariances[[#Headers],[נוב]]),1),INDEX(OfficePlan[],,1),0),MATCH(OfficeVariances[[#Headers],[נוב]],OfficePlan[#Headers],0))-INDEX(OfficeActual[],MATCH(INDEX(OfficeVariances[],ROW()-ROW(OfficeVariances[[#Headers],[נוב]]),1),INDEX(OfficePlan[],,1),0),MATCH(OfficeVariances[[#Headers],[נוב]],OfficeActual[#Headers],0))</f>
        <v>400</v>
      </c>
      <c r="N12" s="103">
        <f>INDEX(OfficePlan[],MATCH(INDEX(OfficeVariances[],ROW()-ROW(OfficeVariances[[#Headers],[דצמ]]),1),INDEX(OfficePlan[],,1),0),MATCH(OfficeVariances[[#Headers],[דצמ]],OfficePlan[#Headers],0))-INDEX(OfficeActual[],MATCH(INDEX(OfficeVariances[],ROW()-ROW(OfficeVariances[[#Headers],[דצמ]]),1),INDEX(OfficePlan[],,1),0),MATCH(OfficeVariances[[#Headers],[דצמ]],OfficeActual[#Headers],0))</f>
        <v>400</v>
      </c>
      <c r="O12" s="104">
        <f>SUM(OfficeVariances[[#This Row],[ינו]:[דצמ]])</f>
        <v>1076</v>
      </c>
      <c r="P12" s="22"/>
    </row>
    <row r="13" spans="1:16" ht="24.95" customHeight="1" thickBot="1" x14ac:dyDescent="0.3">
      <c r="A13" s="17"/>
      <c r="B13" s="42" t="s">
        <v>17</v>
      </c>
      <c r="C13" s="103">
        <f>INDEX(OfficePlan[],MATCH(INDEX(OfficeVariances[],ROW()-ROW(OfficeVariances[[#Headers],[ינו]]),1),INDEX(OfficePlan[],,1),0),MATCH(OfficeVariances[[#Headers],[ינו]],OfficePlan[#Headers],0))-INDEX(OfficeActual[],MATCH(INDEX(OfficeVariances[],ROW()-ROW(OfficeVariances[[#Headers],[ינו]]),1),INDEX(OfficePlan[],,1),0),MATCH(OfficeVariances[[#Headers],[ינו]],OfficeActual[#Headers],0))</f>
        <v>12</v>
      </c>
      <c r="D13" s="103">
        <f>INDEX(OfficePlan[],MATCH(INDEX(OfficeVariances[],ROW()-ROW(OfficeVariances[[#Headers],[פבר]]),1),INDEX(OfficePlan[],,1),0),MATCH(OfficeVariances[[#Headers],[פבר]],OfficePlan[#Headers],0))-INDEX(OfficeActual[],MATCH(INDEX(OfficeVariances[],ROW()-ROW(OfficeVariances[[#Headers],[פבר]]),1),INDEX(OfficePlan[],,1),0),MATCH(OfficeVariances[[#Headers],[פבר]],OfficeActual[#Headers],0))</f>
        <v>22</v>
      </c>
      <c r="E13" s="103">
        <f>INDEX(OfficePlan[],MATCH(INDEX(OfficeVariances[],ROW()-ROW(OfficeVariances[[#Headers],[מרץ]]),1),INDEX(OfficePlan[],,1),0),MATCH(OfficeVariances[[#Headers],[מרץ]],OfficePlan[#Headers],0))-INDEX(OfficeActual[],MATCH(INDEX(OfficeVariances[],ROW()-ROW(OfficeVariances[[#Headers],[מרץ]]),1),INDEX(OfficePlan[],,1),0),MATCH(OfficeVariances[[#Headers],[מרץ]],OfficeActual[#Headers],0))</f>
        <v>32</v>
      </c>
      <c r="F13" s="103">
        <f>INDEX(OfficePlan[],MATCH(INDEX(OfficeVariances[],ROW()-ROW(OfficeVariances[[#Headers],[אפר]]),1),INDEX(OfficePlan[],,1),0),MATCH(OfficeVariances[[#Headers],[אפר]],OfficePlan[#Headers],0))-INDEX(OfficeActual[],MATCH(INDEX(OfficeVariances[],ROW()-ROW(OfficeVariances[[#Headers],[אפר]]),1),INDEX(OfficePlan[],,1),0),MATCH(OfficeVariances[[#Headers],[אפר]],OfficeActual[#Headers],0))</f>
        <v>1</v>
      </c>
      <c r="G13" s="103">
        <f>INDEX(OfficePlan[],MATCH(INDEX(OfficeVariances[],ROW()-ROW(OfficeVariances[[#Headers],[מאי]]),1),INDEX(OfficePlan[],,1),0),MATCH(OfficeVariances[[#Headers],[מאי]],OfficePlan[#Headers],0))-INDEX(OfficeActual[],MATCH(INDEX(OfficeVariances[],ROW()-ROW(OfficeVariances[[#Headers],[מאי]]),1),INDEX(OfficePlan[],,1),0),MATCH(OfficeVariances[[#Headers],[מאי]],OfficeActual[#Headers],0))</f>
        <v>-6</v>
      </c>
      <c r="H13" s="103">
        <f>INDEX(OfficePlan[],MATCH(INDEX(OfficeVariances[],ROW()-ROW(OfficeVariances[[#Headers],[יונ]]),1),INDEX(OfficePlan[],,1),0),MATCH(OfficeVariances[[#Headers],[יונ]],OfficePlan[#Headers],0))-INDEX(OfficeActual[],MATCH(INDEX(OfficeVariances[],ROW()-ROW(OfficeVariances[[#Headers],[יונ]]),1),INDEX(OfficePlan[],,1),0),MATCH(OfficeVariances[[#Headers],[יונ]],OfficeActual[#Headers],0))</f>
        <v>10</v>
      </c>
      <c r="I13" s="103">
        <f>INDEX(OfficePlan[],MATCH(INDEX(OfficeVariances[],ROW()-ROW(OfficeVariances[[#Headers],[יול]]),1),INDEX(OfficePlan[],,1),0),MATCH(OfficeVariances[[#Headers],[יול]],OfficePlan[#Headers],0))-INDEX(OfficeActual[],MATCH(INDEX(OfficeVariances[],ROW()-ROW(OfficeVariances[[#Headers],[יול]]),1),INDEX(OfficePlan[],,1),0),MATCH(OfficeVariances[[#Headers],[יול]],OfficeActual[#Headers],0))</f>
        <v>300</v>
      </c>
      <c r="J13" s="103">
        <f>INDEX(OfficePlan[],MATCH(INDEX(OfficeVariances[],ROW()-ROW(OfficeVariances[[#Headers],[אוג]]),1),INDEX(OfficePlan[],,1),0),MATCH(OfficeVariances[[#Headers],[אוג]],OfficePlan[#Headers],0))-INDEX(OfficeActual[],MATCH(INDEX(OfficeVariances[],ROW()-ROW(OfficeVariances[[#Headers],[אוג]]),1),INDEX(OfficePlan[],,1),0),MATCH(OfficeVariances[[#Headers],[אוג]],OfficeActual[#Headers],0))</f>
        <v>300</v>
      </c>
      <c r="K13" s="103">
        <f>INDEX(OfficePlan[],MATCH(INDEX(OfficeVariances[],ROW()-ROW(OfficeVariances[[#Headers],[ספט]]),1),INDEX(OfficePlan[],,1),0),MATCH(OfficeVariances[[#Headers],[ספט]],OfficePlan[#Headers],0))-INDEX(OfficeActual[],MATCH(INDEX(OfficeVariances[],ROW()-ROW(OfficeVariances[[#Headers],[ספט]]),1),INDEX(OfficePlan[],,1),0),MATCH(OfficeVariances[[#Headers],[ספט]],OfficeActual[#Headers],0))</f>
        <v>300</v>
      </c>
      <c r="L13" s="103">
        <f>INDEX(OfficePlan[],MATCH(INDEX(OfficeVariances[],ROW()-ROW(OfficeVariances[[#Headers],[אוק]]),1),INDEX(OfficePlan[],,1),0),MATCH(OfficeVariances[[#Headers],[אוק]],OfficePlan[#Headers],0))-INDEX(OfficeActual[],MATCH(INDEX(OfficeVariances[],ROW()-ROW(OfficeVariances[[#Headers],[אוק]]),1),INDEX(OfficePlan[],,1),0),MATCH(OfficeVariances[[#Headers],[אוק]],OfficeActual[#Headers],0))</f>
        <v>300</v>
      </c>
      <c r="M13" s="103">
        <f>INDEX(OfficePlan[],MATCH(INDEX(OfficeVariances[],ROW()-ROW(OfficeVariances[[#Headers],[נוב]]),1),INDEX(OfficePlan[],,1),0),MATCH(OfficeVariances[[#Headers],[נוב]],OfficePlan[#Headers],0))-INDEX(OfficeActual[],MATCH(INDEX(OfficeVariances[],ROW()-ROW(OfficeVariances[[#Headers],[נוב]]),1),INDEX(OfficePlan[],,1),0),MATCH(OfficeVariances[[#Headers],[נוב]],OfficeActual[#Headers],0))</f>
        <v>300</v>
      </c>
      <c r="N13" s="103">
        <f>INDEX(OfficePlan[],MATCH(INDEX(OfficeVariances[],ROW()-ROW(OfficeVariances[[#Headers],[דצמ]]),1),INDEX(OfficePlan[],,1),0),MATCH(OfficeVariances[[#Headers],[דצמ]],OfficePlan[#Headers],0))-INDEX(OfficeActual[],MATCH(INDEX(OfficeVariances[],ROW()-ROW(OfficeVariances[[#Headers],[דצמ]]),1),INDEX(OfficePlan[],,1),0),MATCH(OfficeVariances[[#Headers],[דצמ]],OfficeActual[#Headers],0))</f>
        <v>300</v>
      </c>
      <c r="O13" s="104">
        <f>SUM(OfficeVariances[[#This Row],[ינו]:[דצמ]])</f>
        <v>1871</v>
      </c>
      <c r="P13" s="22"/>
    </row>
    <row r="14" spans="1:16" ht="24.95" customHeight="1" thickBot="1" x14ac:dyDescent="0.3">
      <c r="A14" s="17"/>
      <c r="B14" s="42" t="s">
        <v>18</v>
      </c>
      <c r="C14" s="103">
        <f>INDEX(OfficePlan[],MATCH(INDEX(OfficeVariances[],ROW()-ROW(OfficeVariances[[#Headers],[ינו]]),1),INDEX(OfficePlan[],,1),0),MATCH(OfficeVariances[[#Headers],[ינו]],OfficePlan[#Headers],0))-INDEX(OfficeActual[],MATCH(INDEX(OfficeVariances[],ROW()-ROW(OfficeVariances[[#Headers],[ינו]]),1),INDEX(OfficePlan[],,1),0),MATCH(OfficeVariances[[#Headers],[ינו]],OfficeActual[#Headers],0))</f>
        <v>5</v>
      </c>
      <c r="D14" s="103">
        <f>INDEX(OfficePlan[],MATCH(INDEX(OfficeVariances[],ROW()-ROW(OfficeVariances[[#Headers],[פבר]]),1),INDEX(OfficePlan[],,1),0),MATCH(OfficeVariances[[#Headers],[פבר]],OfficePlan[#Headers],0))-INDEX(OfficeActual[],MATCH(INDEX(OfficeVariances[],ROW()-ROW(OfficeVariances[[#Headers],[פבר]]),1),INDEX(OfficePlan[],,1),0),MATCH(OfficeVariances[[#Headers],[פבר]],OfficeActual[#Headers],0))</f>
        <v>7</v>
      </c>
      <c r="E14" s="103">
        <f>INDEX(OfficePlan[],MATCH(INDEX(OfficeVariances[],ROW()-ROW(OfficeVariances[[#Headers],[מרץ]]),1),INDEX(OfficePlan[],,1),0),MATCH(OfficeVariances[[#Headers],[מרץ]],OfficePlan[#Headers],0))-INDEX(OfficeActual[],MATCH(INDEX(OfficeVariances[],ROW()-ROW(OfficeVariances[[#Headers],[מרץ]]),1),INDEX(OfficePlan[],,1),0),MATCH(OfficeVariances[[#Headers],[מרץ]],OfficeActual[#Headers],0))</f>
        <v>6</v>
      </c>
      <c r="F14" s="103">
        <f>INDEX(OfficePlan[],MATCH(INDEX(OfficeVariances[],ROW()-ROW(OfficeVariances[[#Headers],[אפר]]),1),INDEX(OfficePlan[],,1),0),MATCH(OfficeVariances[[#Headers],[אפר]],OfficePlan[#Headers],0))-INDEX(OfficeActual[],MATCH(INDEX(OfficeVariances[],ROW()-ROW(OfficeVariances[[#Headers],[אפר]]),1),INDEX(OfficePlan[],,1),0),MATCH(OfficeVariances[[#Headers],[אפר]],OfficeActual[#Headers],0))</f>
        <v>4</v>
      </c>
      <c r="G14" s="103">
        <f>INDEX(OfficePlan[],MATCH(INDEX(OfficeVariances[],ROW()-ROW(OfficeVariances[[#Headers],[מאי]]),1),INDEX(OfficePlan[],,1),0),MATCH(OfficeVariances[[#Headers],[מאי]],OfficePlan[#Headers],0))-INDEX(OfficeActual[],MATCH(INDEX(OfficeVariances[],ROW()-ROW(OfficeVariances[[#Headers],[מאי]]),1),INDEX(OfficePlan[],,1),0),MATCH(OfficeVariances[[#Headers],[מאי]],OfficeActual[#Headers],0))</f>
        <v>6</v>
      </c>
      <c r="H14" s="103">
        <f>INDEX(OfficePlan[],MATCH(INDEX(OfficeVariances[],ROW()-ROW(OfficeVariances[[#Headers],[יונ]]),1),INDEX(OfficePlan[],,1),0),MATCH(OfficeVariances[[#Headers],[יונ]],OfficePlan[#Headers],0))-INDEX(OfficeActual[],MATCH(INDEX(OfficeVariances[],ROW()-ROW(OfficeVariances[[#Headers],[יונ]]),1),INDEX(OfficePlan[],,1),0),MATCH(OfficeVariances[[#Headers],[יונ]],OfficeActual[#Headers],0))</f>
        <v>4</v>
      </c>
      <c r="I14" s="103">
        <f>INDEX(OfficePlan[],MATCH(INDEX(OfficeVariances[],ROW()-ROW(OfficeVariances[[#Headers],[יול]]),1),INDEX(OfficePlan[],,1),0),MATCH(OfficeVariances[[#Headers],[יול]],OfficePlan[#Headers],0))-INDEX(OfficeActual[],MATCH(INDEX(OfficeVariances[],ROW()-ROW(OfficeVariances[[#Headers],[יול]]),1),INDEX(OfficePlan[],,1),0),MATCH(OfficeVariances[[#Headers],[יול]],OfficeActual[#Headers],0))</f>
        <v>40</v>
      </c>
      <c r="J14" s="103">
        <f>INDEX(OfficePlan[],MATCH(INDEX(OfficeVariances[],ROW()-ROW(OfficeVariances[[#Headers],[אוג]]),1),INDEX(OfficePlan[],,1),0),MATCH(OfficeVariances[[#Headers],[אוג]],OfficePlan[#Headers],0))-INDEX(OfficeActual[],MATCH(INDEX(OfficeVariances[],ROW()-ROW(OfficeVariances[[#Headers],[אוג]]),1),INDEX(OfficePlan[],,1),0),MATCH(OfficeVariances[[#Headers],[אוג]],OfficeActual[#Headers],0))</f>
        <v>40</v>
      </c>
      <c r="K14" s="103">
        <f>INDEX(OfficePlan[],MATCH(INDEX(OfficeVariances[],ROW()-ROW(OfficeVariances[[#Headers],[ספט]]),1),INDEX(OfficePlan[],,1),0),MATCH(OfficeVariances[[#Headers],[ספט]],OfficePlan[#Headers],0))-INDEX(OfficeActual[],MATCH(INDEX(OfficeVariances[],ROW()-ROW(OfficeVariances[[#Headers],[ספט]]),1),INDEX(OfficePlan[],,1),0),MATCH(OfficeVariances[[#Headers],[ספט]],OfficeActual[#Headers],0))</f>
        <v>40</v>
      </c>
      <c r="L14" s="103">
        <f>INDEX(OfficePlan[],MATCH(INDEX(OfficeVariances[],ROW()-ROW(OfficeVariances[[#Headers],[אוק]]),1),INDEX(OfficePlan[],,1),0),MATCH(OfficeVariances[[#Headers],[אוק]],OfficePlan[#Headers],0))-INDEX(OfficeActual[],MATCH(INDEX(OfficeVariances[],ROW()-ROW(OfficeVariances[[#Headers],[אוק]]),1),INDEX(OfficePlan[],,1),0),MATCH(OfficeVariances[[#Headers],[אוק]],OfficeActual[#Headers],0))</f>
        <v>40</v>
      </c>
      <c r="M14" s="103">
        <f>INDEX(OfficePlan[],MATCH(INDEX(OfficeVariances[],ROW()-ROW(OfficeVariances[[#Headers],[נוב]]),1),INDEX(OfficePlan[],,1),0),MATCH(OfficeVariances[[#Headers],[נוב]],OfficePlan[#Headers],0))-INDEX(OfficeActual[],MATCH(INDEX(OfficeVariances[],ROW()-ROW(OfficeVariances[[#Headers],[נוב]]),1),INDEX(OfficePlan[],,1),0),MATCH(OfficeVariances[[#Headers],[נוב]],OfficeActual[#Headers],0))</f>
        <v>40</v>
      </c>
      <c r="N14" s="103">
        <f>INDEX(OfficePlan[],MATCH(INDEX(OfficeVariances[],ROW()-ROW(OfficeVariances[[#Headers],[דצמ]]),1),INDEX(OfficePlan[],,1),0),MATCH(OfficeVariances[[#Headers],[דצמ]],OfficePlan[#Headers],0))-INDEX(OfficeActual[],MATCH(INDEX(OfficeVariances[],ROW()-ROW(OfficeVariances[[#Headers],[דצמ]]),1),INDEX(OfficePlan[],,1),0),MATCH(OfficeVariances[[#Headers],[דצמ]],OfficeActual[#Headers],0))</f>
        <v>40</v>
      </c>
      <c r="O14" s="104">
        <f>SUM(OfficeVariances[[#This Row],[ינו]:[דצמ]])</f>
        <v>272</v>
      </c>
      <c r="P14" s="22"/>
    </row>
    <row r="15" spans="1:16" ht="24.95" customHeight="1" thickBot="1" x14ac:dyDescent="0.3">
      <c r="A15" s="17"/>
      <c r="B15" s="42" t="s">
        <v>19</v>
      </c>
      <c r="C15" s="103">
        <f>INDEX(OfficePlan[],MATCH(INDEX(OfficeVariances[],ROW()-ROW(OfficeVariances[[#Headers],[ינו]]),1),INDEX(OfficePlan[],,1),0),MATCH(OfficeVariances[[#Headers],[ינו]],OfficePlan[#Headers],0))-INDEX(OfficeActual[],MATCH(INDEX(OfficeVariances[],ROW()-ROW(OfficeVariances[[#Headers],[ינו]]),1),INDEX(OfficePlan[],,1),0),MATCH(OfficeVariances[[#Headers],[ינו]],OfficeActual[#Headers],0))</f>
        <v>26</v>
      </c>
      <c r="D15" s="103">
        <f>INDEX(OfficePlan[],MATCH(INDEX(OfficeVariances[],ROW()-ROW(OfficeVariances[[#Headers],[פבר]]),1),INDEX(OfficePlan[],,1),0),MATCH(OfficeVariances[[#Headers],[פבר]],OfficePlan[#Headers],0))-INDEX(OfficeActual[],MATCH(INDEX(OfficeVariances[],ROW()-ROW(OfficeVariances[[#Headers],[פבר]]),1),INDEX(OfficePlan[],,1),0),MATCH(OfficeVariances[[#Headers],[פבר]],OfficeActual[#Headers],0))</f>
        <v>15</v>
      </c>
      <c r="E15" s="103">
        <f>INDEX(OfficePlan[],MATCH(INDEX(OfficeVariances[],ROW()-ROW(OfficeVariances[[#Headers],[מרץ]]),1),INDEX(OfficePlan[],,1),0),MATCH(OfficeVariances[[#Headers],[מרץ]],OfficePlan[#Headers],0))-INDEX(OfficeActual[],MATCH(INDEX(OfficeVariances[],ROW()-ROW(OfficeVariances[[#Headers],[מרץ]]),1),INDEX(OfficePlan[],,1),0),MATCH(OfficeVariances[[#Headers],[מרץ]],OfficeActual[#Headers],0))</f>
        <v>-15</v>
      </c>
      <c r="F15" s="103">
        <f>INDEX(OfficePlan[],MATCH(INDEX(OfficeVariances[],ROW()-ROW(OfficeVariances[[#Headers],[אפר]]),1),INDEX(OfficePlan[],,1),0),MATCH(OfficeVariances[[#Headers],[אפר]],OfficePlan[#Headers],0))-INDEX(OfficeActual[],MATCH(INDEX(OfficeVariances[],ROW()-ROW(OfficeVariances[[#Headers],[אפר]]),1),INDEX(OfficePlan[],,1),0),MATCH(OfficeVariances[[#Headers],[אפר]],OfficeActual[#Headers],0))</f>
        <v>5</v>
      </c>
      <c r="G15" s="103">
        <f>INDEX(OfficePlan[],MATCH(INDEX(OfficeVariances[],ROW()-ROW(OfficeVariances[[#Headers],[מאי]]),1),INDEX(OfficePlan[],,1),0),MATCH(OfficeVariances[[#Headers],[מאי]],OfficePlan[#Headers],0))-INDEX(OfficeActual[],MATCH(INDEX(OfficeVariances[],ROW()-ROW(OfficeVariances[[#Headers],[מאי]]),1),INDEX(OfficePlan[],,1),0),MATCH(OfficeVariances[[#Headers],[מאי]],OfficeActual[#Headers],0))</f>
        <v>5</v>
      </c>
      <c r="H15" s="103">
        <f>INDEX(OfficePlan[],MATCH(INDEX(OfficeVariances[],ROW()-ROW(OfficeVariances[[#Headers],[יונ]]),1),INDEX(OfficePlan[],,1),0),MATCH(OfficeVariances[[#Headers],[יונ]],OfficePlan[#Headers],0))-INDEX(OfficeActual[],MATCH(INDEX(OfficeVariances[],ROW()-ROW(OfficeVariances[[#Headers],[יונ]]),1),INDEX(OfficePlan[],,1),0),MATCH(OfficeVariances[[#Headers],[יונ]],OfficeActual[#Headers],0))</f>
        <v>30</v>
      </c>
      <c r="I15" s="103">
        <f>INDEX(OfficePlan[],MATCH(INDEX(OfficeVariances[],ROW()-ROW(OfficeVariances[[#Headers],[יול]]),1),INDEX(OfficePlan[],,1),0),MATCH(OfficeVariances[[#Headers],[יול]],OfficePlan[#Headers],0))-INDEX(OfficeActual[],MATCH(INDEX(OfficeVariances[],ROW()-ROW(OfficeVariances[[#Headers],[יול]]),1),INDEX(OfficePlan[],,1),0),MATCH(OfficeVariances[[#Headers],[יול]],OfficeActual[#Headers],0))</f>
        <v>250</v>
      </c>
      <c r="J15" s="103">
        <f>INDEX(OfficePlan[],MATCH(INDEX(OfficeVariances[],ROW()-ROW(OfficeVariances[[#Headers],[אוג]]),1),INDEX(OfficePlan[],,1),0),MATCH(OfficeVariances[[#Headers],[אוג]],OfficePlan[#Headers],0))-INDEX(OfficeActual[],MATCH(INDEX(OfficeVariances[],ROW()-ROW(OfficeVariances[[#Headers],[אוג]]),1),INDEX(OfficePlan[],,1),0),MATCH(OfficeVariances[[#Headers],[אוג]],OfficeActual[#Headers],0))</f>
        <v>250</v>
      </c>
      <c r="K15" s="103">
        <f>INDEX(OfficePlan[],MATCH(INDEX(OfficeVariances[],ROW()-ROW(OfficeVariances[[#Headers],[ספט]]),1),INDEX(OfficePlan[],,1),0),MATCH(OfficeVariances[[#Headers],[ספט]],OfficePlan[#Headers],0))-INDEX(OfficeActual[],MATCH(INDEX(OfficeVariances[],ROW()-ROW(OfficeVariances[[#Headers],[ספט]]),1),INDEX(OfficePlan[],,1),0),MATCH(OfficeVariances[[#Headers],[ספט]],OfficeActual[#Headers],0))</f>
        <v>250</v>
      </c>
      <c r="L15" s="103">
        <f>INDEX(OfficePlan[],MATCH(INDEX(OfficeVariances[],ROW()-ROW(OfficeVariances[[#Headers],[אוק]]),1),INDEX(OfficePlan[],,1),0),MATCH(OfficeVariances[[#Headers],[אוק]],OfficePlan[#Headers],0))-INDEX(OfficeActual[],MATCH(INDEX(OfficeVariances[],ROW()-ROW(OfficeVariances[[#Headers],[אוק]]),1),INDEX(OfficePlan[],,1),0),MATCH(OfficeVariances[[#Headers],[אוק]],OfficeActual[#Headers],0))</f>
        <v>250</v>
      </c>
      <c r="M15" s="103">
        <f>INDEX(OfficePlan[],MATCH(INDEX(OfficeVariances[],ROW()-ROW(OfficeVariances[[#Headers],[נוב]]),1),INDEX(OfficePlan[],,1),0),MATCH(OfficeVariances[[#Headers],[נוב]],OfficePlan[#Headers],0))-INDEX(OfficeActual[],MATCH(INDEX(OfficeVariances[],ROW()-ROW(OfficeVariances[[#Headers],[נוב]]),1),INDEX(OfficePlan[],,1),0),MATCH(OfficeVariances[[#Headers],[נוב]],OfficeActual[#Headers],0))</f>
        <v>250</v>
      </c>
      <c r="N15" s="103">
        <f>INDEX(OfficePlan[],MATCH(INDEX(OfficeVariances[],ROW()-ROW(OfficeVariances[[#Headers],[דצמ]]),1),INDEX(OfficePlan[],,1),0),MATCH(OfficeVariances[[#Headers],[דצמ]],OfficePlan[#Headers],0))-INDEX(OfficeActual[],MATCH(INDEX(OfficeVariances[],ROW()-ROW(OfficeVariances[[#Headers],[דצמ]]),1),INDEX(OfficePlan[],,1),0),MATCH(OfficeVariances[[#Headers],[דצמ]],OfficeActual[#Headers],0))</f>
        <v>250</v>
      </c>
      <c r="O15" s="104">
        <f>SUM(OfficeVariances[[#This Row],[ינו]:[דצמ]])</f>
        <v>1566</v>
      </c>
      <c r="P15" s="22"/>
    </row>
    <row r="16" spans="1:16" ht="24.95" customHeight="1" thickBot="1" x14ac:dyDescent="0.3">
      <c r="A16" s="17"/>
      <c r="B16" s="42" t="s">
        <v>20</v>
      </c>
      <c r="C16" s="103">
        <f>INDEX(OfficePlan[],MATCH(INDEX(OfficeVariances[],ROW()-ROW(OfficeVariances[[#Headers],[ינו]]),1),INDEX(OfficePlan[],,1),0),MATCH(OfficeVariances[[#Headers],[ינו]],OfficePlan[#Headers],0))-INDEX(OfficeActual[],MATCH(INDEX(OfficeVariances[],ROW()-ROW(OfficeVariances[[#Headers],[ינו]]),1),INDEX(OfficePlan[],,1),0),MATCH(OfficeVariances[[#Headers],[ינו]],OfficeActual[#Headers],0))</f>
        <v>0</v>
      </c>
      <c r="D16" s="103">
        <f>INDEX(OfficePlan[],MATCH(INDEX(OfficeVariances[],ROW()-ROW(OfficeVariances[[#Headers],[פבר]]),1),INDEX(OfficePlan[],,1),0),MATCH(OfficeVariances[[#Headers],[פבר]],OfficePlan[#Headers],0))-INDEX(OfficeActual[],MATCH(INDEX(OfficeVariances[],ROW()-ROW(OfficeVariances[[#Headers],[פבר]]),1),INDEX(OfficePlan[],,1),0),MATCH(OfficeVariances[[#Headers],[פבר]],OfficeActual[#Headers],0))</f>
        <v>0</v>
      </c>
      <c r="E16" s="103">
        <f>INDEX(OfficePlan[],MATCH(INDEX(OfficeVariances[],ROW()-ROW(OfficeVariances[[#Headers],[מרץ]]),1),INDEX(OfficePlan[],,1),0),MATCH(OfficeVariances[[#Headers],[מרץ]],OfficePlan[#Headers],0))-INDEX(OfficeActual[],MATCH(INDEX(OfficeVariances[],ROW()-ROW(OfficeVariances[[#Headers],[מרץ]]),1),INDEX(OfficePlan[],,1),0),MATCH(OfficeVariances[[#Headers],[מרץ]],OfficeActual[#Headers],0))</f>
        <v>0</v>
      </c>
      <c r="F16" s="103">
        <f>INDEX(OfficePlan[],MATCH(INDEX(OfficeVariances[],ROW()-ROW(OfficeVariances[[#Headers],[אפר]]),1),INDEX(OfficePlan[],,1),0),MATCH(OfficeVariances[[#Headers],[אפר]],OfficePlan[#Headers],0))-INDEX(OfficeActual[],MATCH(INDEX(OfficeVariances[],ROW()-ROW(OfficeVariances[[#Headers],[אפר]]),1),INDEX(OfficePlan[],,1),0),MATCH(OfficeVariances[[#Headers],[אפר]],OfficeActual[#Headers],0))</f>
        <v>0</v>
      </c>
      <c r="G16" s="103">
        <f>INDEX(OfficePlan[],MATCH(INDEX(OfficeVariances[],ROW()-ROW(OfficeVariances[[#Headers],[מאי]]),1),INDEX(OfficePlan[],,1),0),MATCH(OfficeVariances[[#Headers],[מאי]],OfficePlan[#Headers],0))-INDEX(OfficeActual[],MATCH(INDEX(OfficeVariances[],ROW()-ROW(OfficeVariances[[#Headers],[מאי]]),1),INDEX(OfficePlan[],,1),0),MATCH(OfficeVariances[[#Headers],[מאי]],OfficeActual[#Headers],0))</f>
        <v>0</v>
      </c>
      <c r="H16" s="103">
        <f>INDEX(OfficePlan[],MATCH(INDEX(OfficeVariances[],ROW()-ROW(OfficeVariances[[#Headers],[יונ]]),1),INDEX(OfficePlan[],,1),0),MATCH(OfficeVariances[[#Headers],[יונ]],OfficePlan[#Headers],0))-INDEX(OfficeActual[],MATCH(INDEX(OfficeVariances[],ROW()-ROW(OfficeVariances[[#Headers],[יונ]]),1),INDEX(OfficePlan[],,1),0),MATCH(OfficeVariances[[#Headers],[יונ]],OfficeActual[#Headers],0))</f>
        <v>0</v>
      </c>
      <c r="I16" s="103">
        <f>INDEX(OfficePlan[],MATCH(INDEX(OfficeVariances[],ROW()-ROW(OfficeVariances[[#Headers],[יול]]),1),INDEX(OfficePlan[],,1),0),MATCH(OfficeVariances[[#Headers],[יול]],OfficePlan[#Headers],0))-INDEX(OfficeActual[],MATCH(INDEX(OfficeVariances[],ROW()-ROW(OfficeVariances[[#Headers],[יול]]),1),INDEX(OfficePlan[],,1),0),MATCH(OfficeVariances[[#Headers],[יול]],OfficeActual[#Headers],0))</f>
        <v>180</v>
      </c>
      <c r="J16" s="103">
        <f>INDEX(OfficePlan[],MATCH(INDEX(OfficeVariances[],ROW()-ROW(OfficeVariances[[#Headers],[אוג]]),1),INDEX(OfficePlan[],,1),0),MATCH(OfficeVariances[[#Headers],[אוג]],OfficePlan[#Headers],0))-INDEX(OfficeActual[],MATCH(INDEX(OfficeVariances[],ROW()-ROW(OfficeVariances[[#Headers],[אוג]]),1),INDEX(OfficePlan[],,1),0),MATCH(OfficeVariances[[#Headers],[אוג]],OfficeActual[#Headers],0))</f>
        <v>180</v>
      </c>
      <c r="K16" s="103">
        <f>INDEX(OfficePlan[],MATCH(INDEX(OfficeVariances[],ROW()-ROW(OfficeVariances[[#Headers],[ספט]]),1),INDEX(OfficePlan[],,1),0),MATCH(OfficeVariances[[#Headers],[ספט]],OfficePlan[#Headers],0))-INDEX(OfficeActual[],MATCH(INDEX(OfficeVariances[],ROW()-ROW(OfficeVariances[[#Headers],[ספט]]),1),INDEX(OfficePlan[],,1),0),MATCH(OfficeVariances[[#Headers],[ספט]],OfficeActual[#Headers],0))</f>
        <v>180</v>
      </c>
      <c r="L16" s="103">
        <f>INDEX(OfficePlan[],MATCH(INDEX(OfficeVariances[],ROW()-ROW(OfficeVariances[[#Headers],[אוק]]),1),INDEX(OfficePlan[],,1),0),MATCH(OfficeVariances[[#Headers],[אוק]],OfficePlan[#Headers],0))-INDEX(OfficeActual[],MATCH(INDEX(OfficeVariances[],ROW()-ROW(OfficeVariances[[#Headers],[אוק]]),1),INDEX(OfficePlan[],,1),0),MATCH(OfficeVariances[[#Headers],[אוק]],OfficeActual[#Headers],0))</f>
        <v>180</v>
      </c>
      <c r="M16" s="103">
        <f>INDEX(OfficePlan[],MATCH(INDEX(OfficeVariances[],ROW()-ROW(OfficeVariances[[#Headers],[נוב]]),1),INDEX(OfficePlan[],,1),0),MATCH(OfficeVariances[[#Headers],[נוב]],OfficePlan[#Headers],0))-INDEX(OfficeActual[],MATCH(INDEX(OfficeVariances[],ROW()-ROW(OfficeVariances[[#Headers],[נוב]]),1),INDEX(OfficePlan[],,1),0),MATCH(OfficeVariances[[#Headers],[נוב]],OfficeActual[#Headers],0))</f>
        <v>180</v>
      </c>
      <c r="N16" s="103">
        <f>INDEX(OfficePlan[],MATCH(INDEX(OfficeVariances[],ROW()-ROW(OfficeVariances[[#Headers],[דצמ]]),1),INDEX(OfficePlan[],,1),0),MATCH(OfficeVariances[[#Headers],[דצמ]],OfficePlan[#Headers],0))-INDEX(OfficeActual[],MATCH(INDEX(OfficeVariances[],ROW()-ROW(OfficeVariances[[#Headers],[דצמ]]),1),INDEX(OfficePlan[],,1),0),MATCH(OfficeVariances[[#Headers],[דצמ]],OfficeActual[#Headers],0))</f>
        <v>180</v>
      </c>
      <c r="O16" s="104">
        <f>SUM(OfficeVariances[[#This Row],[ינו]:[דצמ]])</f>
        <v>1080</v>
      </c>
      <c r="P16" s="22"/>
    </row>
    <row r="17" spans="1:16" ht="24.95" customHeight="1" thickBot="1" x14ac:dyDescent="0.3">
      <c r="A17" s="17"/>
      <c r="B17" s="42" t="s">
        <v>21</v>
      </c>
      <c r="C17" s="103">
        <f>INDEX(OfficePlan[],MATCH(INDEX(OfficeVariances[],ROW()-ROW(OfficeVariances[[#Headers],[ינו]]),1),INDEX(OfficePlan[],,1),0),MATCH(OfficeVariances[[#Headers],[ינו]],OfficePlan[#Headers],0))-INDEX(OfficeActual[],MATCH(INDEX(OfficeVariances[],ROW()-ROW(OfficeVariances[[#Headers],[ינו]]),1),INDEX(OfficePlan[],,1),0),MATCH(OfficeVariances[[#Headers],[ינו]],OfficeActual[#Headers],0))</f>
        <v>-56</v>
      </c>
      <c r="D17" s="103">
        <f>INDEX(OfficePlan[],MATCH(INDEX(OfficeVariances[],ROW()-ROW(OfficeVariances[[#Headers],[פבר]]),1),INDEX(OfficePlan[],,1),0),MATCH(OfficeVariances[[#Headers],[פבר]],OfficePlan[#Headers],0))-INDEX(OfficeActual[],MATCH(INDEX(OfficeVariances[],ROW()-ROW(OfficeVariances[[#Headers],[פבר]]),1),INDEX(OfficePlan[],,1),0),MATCH(OfficeVariances[[#Headers],[פבר]],OfficeActual[#Headers],0))</f>
        <v>58</v>
      </c>
      <c r="E17" s="103">
        <f>INDEX(OfficePlan[],MATCH(INDEX(OfficeVariances[],ROW()-ROW(OfficeVariances[[#Headers],[מרץ]]),1),INDEX(OfficePlan[],,1),0),MATCH(OfficeVariances[[#Headers],[מרץ]],OfficePlan[#Headers],0))-INDEX(OfficeActual[],MATCH(INDEX(OfficeVariances[],ROW()-ROW(OfficeVariances[[#Headers],[מרץ]]),1),INDEX(OfficePlan[],,1),0),MATCH(OfficeVariances[[#Headers],[מרץ]],OfficeActual[#Headers],0))</f>
        <v>40</v>
      </c>
      <c r="F17" s="103">
        <f>INDEX(OfficePlan[],MATCH(INDEX(OfficeVariances[],ROW()-ROW(OfficeVariances[[#Headers],[אפר]]),1),INDEX(OfficePlan[],,1),0),MATCH(OfficeVariances[[#Headers],[אפר]],OfficePlan[#Headers],0))-INDEX(OfficeActual[],MATCH(INDEX(OfficeVariances[],ROW()-ROW(OfficeVariances[[#Headers],[אפר]]),1),INDEX(OfficePlan[],,1),0),MATCH(OfficeVariances[[#Headers],[אפר]],OfficeActual[#Headers],0))</f>
        <v>-21</v>
      </c>
      <c r="G17" s="103">
        <f>INDEX(OfficePlan[],MATCH(INDEX(OfficeVariances[],ROW()-ROW(OfficeVariances[[#Headers],[מאי]]),1),INDEX(OfficePlan[],,1),0),MATCH(OfficeVariances[[#Headers],[מאי]],OfficePlan[#Headers],0))-INDEX(OfficeActual[],MATCH(INDEX(OfficeVariances[],ROW()-ROW(OfficeVariances[[#Headers],[מאי]]),1),INDEX(OfficePlan[],,1),0),MATCH(OfficeVariances[[#Headers],[מאי]],OfficeActual[#Headers],0))</f>
        <v>-56</v>
      </c>
      <c r="H17" s="103">
        <f>INDEX(OfficePlan[],MATCH(INDEX(OfficeVariances[],ROW()-ROW(OfficeVariances[[#Headers],[יונ]]),1),INDEX(OfficePlan[],,1),0),MATCH(OfficeVariances[[#Headers],[יונ]],OfficePlan[#Headers],0))-INDEX(OfficeActual[],MATCH(INDEX(OfficeVariances[],ROW()-ROW(OfficeVariances[[#Headers],[יונ]]),1),INDEX(OfficePlan[],,1),0),MATCH(OfficeVariances[[#Headers],[יונ]],OfficeActual[#Headers],0))</f>
        <v>-40</v>
      </c>
      <c r="I17" s="103">
        <f>INDEX(OfficePlan[],MATCH(INDEX(OfficeVariances[],ROW()-ROW(OfficeVariances[[#Headers],[יול]]),1),INDEX(OfficePlan[],,1),0),MATCH(OfficeVariances[[#Headers],[יול]],OfficePlan[#Headers],0))-INDEX(OfficeActual[],MATCH(INDEX(OfficeVariances[],ROW()-ROW(OfficeVariances[[#Headers],[יול]]),1),INDEX(OfficePlan[],,1),0),MATCH(OfficeVariances[[#Headers],[יול]],OfficeActual[#Headers],0))</f>
        <v>200</v>
      </c>
      <c r="J17" s="103">
        <f>INDEX(OfficePlan[],MATCH(INDEX(OfficeVariances[],ROW()-ROW(OfficeVariances[[#Headers],[אוג]]),1),INDEX(OfficePlan[],,1),0),MATCH(OfficeVariances[[#Headers],[אוג]],OfficePlan[#Headers],0))-INDEX(OfficeActual[],MATCH(INDEX(OfficeVariances[],ROW()-ROW(OfficeVariances[[#Headers],[אוג]]),1),INDEX(OfficePlan[],,1),0),MATCH(OfficeVariances[[#Headers],[אוג]],OfficeActual[#Headers],0))</f>
        <v>200</v>
      </c>
      <c r="K17" s="103">
        <f>INDEX(OfficePlan[],MATCH(INDEX(OfficeVariances[],ROW()-ROW(OfficeVariances[[#Headers],[ספט]]),1),INDEX(OfficePlan[],,1),0),MATCH(OfficeVariances[[#Headers],[ספט]],OfficePlan[#Headers],0))-INDEX(OfficeActual[],MATCH(INDEX(OfficeVariances[],ROW()-ROW(OfficeVariances[[#Headers],[ספט]]),1),INDEX(OfficePlan[],,1),0),MATCH(OfficeVariances[[#Headers],[ספט]],OfficeActual[#Headers],0))</f>
        <v>200</v>
      </c>
      <c r="L17" s="103">
        <f>INDEX(OfficePlan[],MATCH(INDEX(OfficeVariances[],ROW()-ROW(OfficeVariances[[#Headers],[אוק]]),1),INDEX(OfficePlan[],,1),0),MATCH(OfficeVariances[[#Headers],[אוק]],OfficePlan[#Headers],0))-INDEX(OfficeActual[],MATCH(INDEX(OfficeVariances[],ROW()-ROW(OfficeVariances[[#Headers],[אוק]]),1),INDEX(OfficePlan[],,1),0),MATCH(OfficeVariances[[#Headers],[אוק]],OfficeActual[#Headers],0))</f>
        <v>200</v>
      </c>
      <c r="M17" s="103">
        <f>INDEX(OfficePlan[],MATCH(INDEX(OfficeVariances[],ROW()-ROW(OfficeVariances[[#Headers],[נוב]]),1),INDEX(OfficePlan[],,1),0),MATCH(OfficeVariances[[#Headers],[נוב]],OfficePlan[#Headers],0))-INDEX(OfficeActual[],MATCH(INDEX(OfficeVariances[],ROW()-ROW(OfficeVariances[[#Headers],[נוב]]),1),INDEX(OfficePlan[],,1),0),MATCH(OfficeVariances[[#Headers],[נוב]],OfficeActual[#Headers],0))</f>
        <v>200</v>
      </c>
      <c r="N17" s="103">
        <f>INDEX(OfficePlan[],MATCH(INDEX(OfficeVariances[],ROW()-ROW(OfficeVariances[[#Headers],[דצמ]]),1),INDEX(OfficePlan[],,1),0),MATCH(OfficeVariances[[#Headers],[דצמ]],OfficePlan[#Headers],0))-INDEX(OfficeActual[],MATCH(INDEX(OfficeVariances[],ROW()-ROW(OfficeVariances[[#Headers],[דצמ]]),1),INDEX(OfficePlan[],,1),0),MATCH(OfficeVariances[[#Headers],[דצמ]],OfficeActual[#Headers],0))</f>
        <v>200</v>
      </c>
      <c r="O17" s="104">
        <f>SUM(OfficeVariances[[#This Row],[ינו]:[דצמ]])</f>
        <v>1125</v>
      </c>
      <c r="P17" s="22"/>
    </row>
    <row r="18" spans="1:16" ht="24.95" customHeight="1" thickBot="1" x14ac:dyDescent="0.3">
      <c r="A18" s="17"/>
      <c r="B18" s="42" t="s">
        <v>22</v>
      </c>
      <c r="C18" s="103">
        <f>INDEX(OfficePlan[],MATCH(INDEX(OfficeVariances[],ROW()-ROW(OfficeVariances[[#Headers],[ינו]]),1),INDEX(OfficePlan[],,1),0),MATCH(OfficeVariances[[#Headers],[ינו]],OfficePlan[#Headers],0))-INDEX(OfficeActual[],MATCH(INDEX(OfficeVariances[],ROW()-ROW(OfficeVariances[[#Headers],[ינו]]),1),INDEX(OfficePlan[],,1),0),MATCH(OfficeVariances[[#Headers],[ינו]],OfficeActual[#Headers],0))</f>
        <v>0</v>
      </c>
      <c r="D18" s="103">
        <f>INDEX(OfficePlan[],MATCH(INDEX(OfficeVariances[],ROW()-ROW(OfficeVariances[[#Headers],[פבר]]),1),INDEX(OfficePlan[],,1),0),MATCH(OfficeVariances[[#Headers],[פבר]],OfficePlan[#Headers],0))-INDEX(OfficeActual[],MATCH(INDEX(OfficeVariances[],ROW()-ROW(OfficeVariances[[#Headers],[פבר]]),1),INDEX(OfficePlan[],,1),0),MATCH(OfficeVariances[[#Headers],[פבר]],OfficeActual[#Headers],0))</f>
        <v>0</v>
      </c>
      <c r="E18" s="103">
        <f>INDEX(OfficePlan[],MATCH(INDEX(OfficeVariances[],ROW()-ROW(OfficeVariances[[#Headers],[מרץ]]),1),INDEX(OfficePlan[],,1),0),MATCH(OfficeVariances[[#Headers],[מרץ]],OfficePlan[#Headers],0))-INDEX(OfficeActual[],MATCH(INDEX(OfficeVariances[],ROW()-ROW(OfficeVariances[[#Headers],[מרץ]]),1),INDEX(OfficePlan[],,1),0),MATCH(OfficeVariances[[#Headers],[מרץ]],OfficeActual[#Headers],0))</f>
        <v>0</v>
      </c>
      <c r="F18" s="103">
        <f>INDEX(OfficePlan[],MATCH(INDEX(OfficeVariances[],ROW()-ROW(OfficeVariances[[#Headers],[אפר]]),1),INDEX(OfficePlan[],,1),0),MATCH(OfficeVariances[[#Headers],[אפר]],OfficePlan[#Headers],0))-INDEX(OfficeActual[],MATCH(INDEX(OfficeVariances[],ROW()-ROW(OfficeVariances[[#Headers],[אפר]]),1),INDEX(OfficePlan[],,1),0),MATCH(OfficeVariances[[#Headers],[אפר]],OfficeActual[#Headers],0))</f>
        <v>0</v>
      </c>
      <c r="G18" s="103">
        <f>INDEX(OfficePlan[],MATCH(INDEX(OfficeVariances[],ROW()-ROW(OfficeVariances[[#Headers],[מאי]]),1),INDEX(OfficePlan[],,1),0),MATCH(OfficeVariances[[#Headers],[מאי]],OfficePlan[#Headers],0))-INDEX(OfficeActual[],MATCH(INDEX(OfficeVariances[],ROW()-ROW(OfficeVariances[[#Headers],[מאי]]),1),INDEX(OfficePlan[],,1),0),MATCH(OfficeVariances[[#Headers],[מאי]],OfficeActual[#Headers],0))</f>
        <v>0</v>
      </c>
      <c r="H18" s="103">
        <f>INDEX(OfficePlan[],MATCH(INDEX(OfficeVariances[],ROW()-ROW(OfficeVariances[[#Headers],[יונ]]),1),INDEX(OfficePlan[],,1),0),MATCH(OfficeVariances[[#Headers],[יונ]],OfficePlan[#Headers],0))-INDEX(OfficeActual[],MATCH(INDEX(OfficeVariances[],ROW()-ROW(OfficeVariances[[#Headers],[יונ]]),1),INDEX(OfficePlan[],,1),0),MATCH(OfficeVariances[[#Headers],[יונ]],OfficeActual[#Headers],0))</f>
        <v>0</v>
      </c>
      <c r="I18" s="103">
        <f>INDEX(OfficePlan[],MATCH(INDEX(OfficeVariances[],ROW()-ROW(OfficeVariances[[#Headers],[יול]]),1),INDEX(OfficePlan[],,1),0),MATCH(OfficeVariances[[#Headers],[יול]],OfficePlan[#Headers],0))-INDEX(OfficeActual[],MATCH(INDEX(OfficeVariances[],ROW()-ROW(OfficeVariances[[#Headers],[יול]]),1),INDEX(OfficePlan[],,1),0),MATCH(OfficeVariances[[#Headers],[יול]],OfficeActual[#Headers],0))</f>
        <v>600</v>
      </c>
      <c r="J18" s="103">
        <f>INDEX(OfficePlan[],MATCH(INDEX(OfficeVariances[],ROW()-ROW(OfficeVariances[[#Headers],[אוג]]),1),INDEX(OfficePlan[],,1),0),MATCH(OfficeVariances[[#Headers],[אוג]],OfficePlan[#Headers],0))-INDEX(OfficeActual[],MATCH(INDEX(OfficeVariances[],ROW()-ROW(OfficeVariances[[#Headers],[אוג]]),1),INDEX(OfficePlan[],,1),0),MATCH(OfficeVariances[[#Headers],[אוג]],OfficeActual[#Headers],0))</f>
        <v>600</v>
      </c>
      <c r="K18" s="103">
        <f>INDEX(OfficePlan[],MATCH(INDEX(OfficeVariances[],ROW()-ROW(OfficeVariances[[#Headers],[ספט]]),1),INDEX(OfficePlan[],,1),0),MATCH(OfficeVariances[[#Headers],[ספט]],OfficePlan[#Headers],0))-INDEX(OfficeActual[],MATCH(INDEX(OfficeVariances[],ROW()-ROW(OfficeVariances[[#Headers],[ספט]]),1),INDEX(OfficePlan[],,1),0),MATCH(OfficeVariances[[#Headers],[ספט]],OfficeActual[#Headers],0))</f>
        <v>600</v>
      </c>
      <c r="L18" s="103">
        <f>INDEX(OfficePlan[],MATCH(INDEX(OfficeVariances[],ROW()-ROW(OfficeVariances[[#Headers],[אוק]]),1),INDEX(OfficePlan[],,1),0),MATCH(OfficeVariances[[#Headers],[אוק]],OfficePlan[#Headers],0))-INDEX(OfficeActual[],MATCH(INDEX(OfficeVariances[],ROW()-ROW(OfficeVariances[[#Headers],[אוק]]),1),INDEX(OfficePlan[],,1),0),MATCH(OfficeVariances[[#Headers],[אוק]],OfficeActual[#Headers],0))</f>
        <v>600</v>
      </c>
      <c r="M18" s="103">
        <f>INDEX(OfficePlan[],MATCH(INDEX(OfficeVariances[],ROW()-ROW(OfficeVariances[[#Headers],[נוב]]),1),INDEX(OfficePlan[],,1),0),MATCH(OfficeVariances[[#Headers],[נוב]],OfficePlan[#Headers],0))-INDEX(OfficeActual[],MATCH(INDEX(OfficeVariances[],ROW()-ROW(OfficeVariances[[#Headers],[נוב]]),1),INDEX(OfficePlan[],,1),0),MATCH(OfficeVariances[[#Headers],[נוב]],OfficeActual[#Headers],0))</f>
        <v>600</v>
      </c>
      <c r="N18" s="103">
        <f>INDEX(OfficePlan[],MATCH(INDEX(OfficeVariances[],ROW()-ROW(OfficeVariances[[#Headers],[דצמ]]),1),INDEX(OfficePlan[],,1),0),MATCH(OfficeVariances[[#Headers],[דצמ]],OfficePlan[#Headers],0))-INDEX(OfficeActual[],MATCH(INDEX(OfficeVariances[],ROW()-ROW(OfficeVariances[[#Headers],[דצמ]]),1),INDEX(OfficePlan[],,1),0),MATCH(OfficeVariances[[#Headers],[דצמ]],OfficeActual[#Headers],0))</f>
        <v>600</v>
      </c>
      <c r="O18" s="104">
        <f>SUM(OfficeVariances[[#This Row],[ינו]:[דצמ]])</f>
        <v>3600</v>
      </c>
      <c r="P18" s="22"/>
    </row>
    <row r="19" spans="1:16" ht="24.95" customHeight="1" x14ac:dyDescent="0.25">
      <c r="A19" s="17"/>
      <c r="B19" s="51" t="s">
        <v>13</v>
      </c>
      <c r="C19" s="86">
        <f>SUBTOTAL(109,OfficeVariances[ינו])</f>
        <v>-17</v>
      </c>
      <c r="D19" s="105">
        <f>SUBTOTAL(109,OfficeVariances[פבר])</f>
        <v>72</v>
      </c>
      <c r="E19" s="105">
        <f>SUBTOTAL(109,OfficeVariances[מרץ])</f>
        <v>78</v>
      </c>
      <c r="F19" s="105">
        <f>SUBTOTAL(109,OfficeVariances[אפר])</f>
        <v>-141</v>
      </c>
      <c r="G19" s="105">
        <f>SUBTOTAL(109,OfficeVariances[מאי])</f>
        <v>-38</v>
      </c>
      <c r="H19" s="105">
        <f>SUBTOTAL(109,OfficeVariances[יונ])</f>
        <v>16</v>
      </c>
      <c r="I19" s="105">
        <f>SUBTOTAL(109,OfficeVariances[יול])</f>
        <v>11470</v>
      </c>
      <c r="J19" s="105">
        <f>SUBTOTAL(109,OfficeVariances[אוג])</f>
        <v>11470</v>
      </c>
      <c r="K19" s="105">
        <f>SUBTOTAL(109,OfficeVariances[ספט])</f>
        <v>11470</v>
      </c>
      <c r="L19" s="105">
        <f>SUBTOTAL(109,OfficeVariances[אוק])</f>
        <v>11470</v>
      </c>
      <c r="M19" s="105">
        <f>SUBTOTAL(109,OfficeVariances[נוב])</f>
        <v>11770</v>
      </c>
      <c r="N19" s="105">
        <f>SUBTOTAL(109,OfficeVariances[דצמ])</f>
        <v>11770</v>
      </c>
      <c r="O19" s="106">
        <f>SUBTOTAL(109,OfficeVariances[שנה])</f>
        <v>69390</v>
      </c>
      <c r="P19" s="22"/>
    </row>
    <row r="20" spans="1:16" ht="21" customHeight="1" x14ac:dyDescent="0.25">
      <c r="A20" s="17"/>
      <c r="B20" s="29"/>
      <c r="C20" s="29"/>
      <c r="D20" s="74"/>
      <c r="E20" s="74"/>
      <c r="F20" s="79"/>
      <c r="G20" s="79"/>
      <c r="H20" s="79"/>
      <c r="I20" s="79"/>
      <c r="J20" s="79"/>
      <c r="K20" s="79"/>
      <c r="L20" s="79"/>
      <c r="M20" s="79"/>
      <c r="N20" s="79"/>
      <c r="O20" s="75"/>
      <c r="P20" s="22"/>
    </row>
    <row r="21" spans="1:16" ht="24.95" customHeight="1" thickBot="1" x14ac:dyDescent="0.3">
      <c r="A21" s="17"/>
      <c r="B21" s="30" t="s">
        <v>23</v>
      </c>
      <c r="C21" s="80" t="s">
        <v>36</v>
      </c>
      <c r="D21" s="80" t="s">
        <v>37</v>
      </c>
      <c r="E21" s="80" t="s">
        <v>38</v>
      </c>
      <c r="F21" s="80" t="s">
        <v>39</v>
      </c>
      <c r="G21" s="80" t="s">
        <v>40</v>
      </c>
      <c r="H21" s="80" t="s">
        <v>41</v>
      </c>
      <c r="I21" s="80" t="s">
        <v>42</v>
      </c>
      <c r="J21" s="80" t="s">
        <v>43</v>
      </c>
      <c r="K21" s="80" t="s">
        <v>46</v>
      </c>
      <c r="L21" s="80" t="s">
        <v>47</v>
      </c>
      <c r="M21" s="80" t="s">
        <v>48</v>
      </c>
      <c r="N21" s="80" t="s">
        <v>49</v>
      </c>
      <c r="O21" s="81" t="s">
        <v>50</v>
      </c>
      <c r="P21" s="22"/>
    </row>
    <row r="22" spans="1:16" ht="24.95" customHeight="1" thickBot="1" x14ac:dyDescent="0.3">
      <c r="A22" s="17"/>
      <c r="B22" s="42" t="s">
        <v>24</v>
      </c>
      <c r="C22" s="103">
        <f>INDEX(MarketingPlan[],MATCH(INDEX(MarketingVariances[],ROW()-ROW(MarketingVariances[[#Headers],[ינו]]),1),INDEX(MarketingPlan[],,1),0),MATCH(MarketingVariances[[#Headers],[ינו]],MarketingPlan[#Headers],0))-INDEX(MarketingActual[],MATCH(INDEX(MarketingVariances[],ROW()-ROW(MarketingVariances[[#Headers],[ינו]]),1),INDEX(MarketingPlan[],,1),0),MATCH(MarketingVariances[[#Headers],[ינו]],MarketingActual[#Headers],0))</f>
        <v>0</v>
      </c>
      <c r="D22" s="103">
        <f>INDEX(MarketingPlan[],MATCH(INDEX(MarketingVariances[],ROW()-ROW(MarketingVariances[[#Headers],[פבר]]),1),INDEX(MarketingPlan[],,1),0),MATCH(MarketingVariances[[#Headers],[פבר]],MarketingPlan[#Headers],0))-INDEX(MarketingActual[],MATCH(INDEX(MarketingVariances[],ROW()-ROW(MarketingVariances[[#Headers],[פבר]]),1),INDEX(MarketingPlan[],,1),0),MATCH(MarketingVariances[[#Headers],[פבר]],MarketingActual[#Headers],0))</f>
        <v>0</v>
      </c>
      <c r="E22" s="103">
        <f>INDEX(MarketingPlan[],MATCH(INDEX(MarketingVariances[],ROW()-ROW(MarketingVariances[[#Headers],[מרץ]]),1),INDEX(MarketingPlan[],,1),0),MATCH(MarketingVariances[[#Headers],[מרץ]],MarketingPlan[#Headers],0))-INDEX(MarketingActual[],MATCH(INDEX(MarketingVariances[],ROW()-ROW(MarketingVariances[[#Headers],[מרץ]]),1),INDEX(MarketingPlan[],,1),0),MATCH(MarketingVariances[[#Headers],[מרץ]],MarketingActual[#Headers],0))</f>
        <v>0</v>
      </c>
      <c r="F22" s="103">
        <f>INDEX(MarketingPlan[],MATCH(INDEX(MarketingVariances[],ROW()-ROW(MarketingVariances[[#Headers],[אפר]]),1),INDEX(MarketingPlan[],,1),0),MATCH(MarketingVariances[[#Headers],[אפר]],MarketingPlan[#Headers],0))-INDEX(MarketingActual[],MATCH(INDEX(MarketingVariances[],ROW()-ROW(MarketingVariances[[#Headers],[אפר]]),1),INDEX(MarketingPlan[],,1),0),MATCH(MarketingVariances[[#Headers],[אפר]],MarketingActual[#Headers],0))</f>
        <v>0</v>
      </c>
      <c r="G22" s="103">
        <f>INDEX(MarketingPlan[],MATCH(INDEX(MarketingVariances[],ROW()-ROW(MarketingVariances[[#Headers],[מאי]]),1),INDEX(MarketingPlan[],,1),0),MATCH(MarketingVariances[[#Headers],[מאי]],MarketingPlan[#Headers],0))-INDEX(MarketingActual[],MATCH(INDEX(MarketingVariances[],ROW()-ROW(MarketingVariances[[#Headers],[מאי]]),1),INDEX(MarketingPlan[],,1),0),MATCH(MarketingVariances[[#Headers],[מאי]],MarketingActual[#Headers],0))</f>
        <v>0</v>
      </c>
      <c r="H22" s="103">
        <f>INDEX(MarketingPlan[],MATCH(INDEX(MarketingVariances[],ROW()-ROW(MarketingVariances[[#Headers],[יונ]]),1),INDEX(MarketingPlan[],,1),0),MATCH(MarketingVariances[[#Headers],[יונ]],MarketingPlan[#Headers],0))-INDEX(MarketingActual[],MATCH(INDEX(MarketingVariances[],ROW()-ROW(MarketingVariances[[#Headers],[יונ]]),1),INDEX(MarketingPlan[],,1),0),MATCH(MarketingVariances[[#Headers],[יונ]],MarketingActual[#Headers],0))</f>
        <v>0</v>
      </c>
      <c r="I22" s="103">
        <f>INDEX(MarketingPlan[],MATCH(INDEX(MarketingVariances[],ROW()-ROW(MarketingVariances[[#Headers],[יול]]),1),INDEX(MarketingPlan[],,1),0),MATCH(MarketingVariances[[#Headers],[יול]],MarketingPlan[#Headers],0))-INDEX(MarketingActual[],MATCH(INDEX(MarketingVariances[],ROW()-ROW(MarketingVariances[[#Headers],[יול]]),1),INDEX(MarketingPlan[],,1),0),MATCH(MarketingVariances[[#Headers],[יול]],MarketingActual[#Headers],0))</f>
        <v>500</v>
      </c>
      <c r="J22" s="103">
        <f>INDEX(MarketingPlan[],MATCH(INDEX(MarketingVariances[],ROW()-ROW(MarketingVariances[[#Headers],[אוג]]),1),INDEX(MarketingPlan[],,1),0),MATCH(MarketingVariances[[#Headers],[אוג]],MarketingPlan[#Headers],0))-INDEX(MarketingActual[],MATCH(INDEX(MarketingVariances[],ROW()-ROW(MarketingVariances[[#Headers],[אוג]]),1),INDEX(MarketingPlan[],,1),0),MATCH(MarketingVariances[[#Headers],[אוג]],MarketingActual[#Headers],0))</f>
        <v>500</v>
      </c>
      <c r="K22" s="103">
        <f>INDEX(MarketingPlan[],MATCH(INDEX(MarketingVariances[],ROW()-ROW(MarketingVariances[[#Headers],[ספט]]),1),INDEX(MarketingPlan[],,1),0),MATCH(MarketingVariances[[#Headers],[ספט]],MarketingPlan[#Headers],0))-INDEX(MarketingActual[],MATCH(INDEX(MarketingVariances[],ROW()-ROW(MarketingVariances[[#Headers],[ספט]]),1),INDEX(MarketingPlan[],,1),0),MATCH(MarketingVariances[[#Headers],[ספט]],MarketingActual[#Headers],0))</f>
        <v>500</v>
      </c>
      <c r="L22" s="103">
        <f>INDEX(MarketingPlan[],MATCH(INDEX(MarketingVariances[],ROW()-ROW(MarketingVariances[[#Headers],[אוק]]),1),INDEX(MarketingPlan[],,1),0),MATCH(MarketingVariances[[#Headers],[אוק]],MarketingPlan[#Headers],0))-INDEX(MarketingActual[],MATCH(INDEX(MarketingVariances[],ROW()-ROW(MarketingVariances[[#Headers],[אוק]]),1),INDEX(MarketingPlan[],,1),0),MATCH(MarketingVariances[[#Headers],[אוק]],MarketingActual[#Headers],0))</f>
        <v>500</v>
      </c>
      <c r="M22" s="103">
        <f>INDEX(MarketingPlan[],MATCH(INDEX(MarketingVariances[],ROW()-ROW(MarketingVariances[[#Headers],[נוב]]),1),INDEX(MarketingPlan[],,1),0),MATCH(MarketingVariances[[#Headers],[נוב]],MarketingPlan[#Headers],0))-INDEX(MarketingActual[],MATCH(INDEX(MarketingVariances[],ROW()-ROW(MarketingVariances[[#Headers],[נוב]]),1),INDEX(MarketingPlan[],,1),0),MATCH(MarketingVariances[[#Headers],[נוב]],MarketingActual[#Headers],0))</f>
        <v>500</v>
      </c>
      <c r="N22" s="103">
        <f>INDEX(MarketingPlan[],MATCH(INDEX(MarketingVariances[],ROW()-ROW(MarketingVariances[[#Headers],[דצמ]]),1),INDEX(MarketingPlan[],,1),0),MATCH(MarketingVariances[[#Headers],[דצמ]],MarketingPlan[#Headers],0))-INDEX(MarketingActual[],MATCH(INDEX(MarketingVariances[],ROW()-ROW(MarketingVariances[[#Headers],[דצמ]]),1),INDEX(MarketingPlan[],,1),0),MATCH(MarketingVariances[[#Headers],[דצמ]],MarketingActual[#Headers],0))</f>
        <v>500</v>
      </c>
      <c r="O22" s="104">
        <f>SUM(MarketingVariances[[#This Row],[ינו]:[דצמ]])</f>
        <v>3000</v>
      </c>
      <c r="P22" s="22"/>
    </row>
    <row r="23" spans="1:16" ht="24.95" customHeight="1" thickBot="1" x14ac:dyDescent="0.3">
      <c r="A23" s="17"/>
      <c r="B23" s="42" t="s">
        <v>25</v>
      </c>
      <c r="C23" s="103">
        <f>INDEX(MarketingPlan[],MATCH(INDEX(MarketingVariances[],ROW()-ROW(MarketingVariances[[#Headers],[ינו]]),1),INDEX(MarketingPlan[],,1),0),MATCH(MarketingVariances[[#Headers],[ינו]],MarketingPlan[#Headers],0))-INDEX(MarketingActual[],MATCH(INDEX(MarketingVariances[],ROW()-ROW(MarketingVariances[[#Headers],[ינו]]),1),INDEX(MarketingPlan[],,1),0),MATCH(MarketingVariances[[#Headers],[ינו]],MarketingActual[#Headers],0))</f>
        <v>0</v>
      </c>
      <c r="D23" s="103">
        <f>INDEX(MarketingPlan[],MATCH(INDEX(MarketingVariances[],ROW()-ROW(MarketingVariances[[#Headers],[פבר]]),1),INDEX(MarketingPlan[],,1),0),MATCH(MarketingVariances[[#Headers],[פבר]],MarketingPlan[#Headers],0))-INDEX(MarketingActual[],MATCH(INDEX(MarketingVariances[],ROW()-ROW(MarketingVariances[[#Headers],[פבר]]),1),INDEX(MarketingPlan[],,1),0),MATCH(MarketingVariances[[#Headers],[פבר]],MarketingActual[#Headers],0))</f>
        <v>0</v>
      </c>
      <c r="E23" s="103">
        <f>INDEX(MarketingPlan[],MATCH(INDEX(MarketingVariances[],ROW()-ROW(MarketingVariances[[#Headers],[מרץ]]),1),INDEX(MarketingPlan[],,1),0),MATCH(MarketingVariances[[#Headers],[מרץ]],MarketingPlan[#Headers],0))-INDEX(MarketingActual[],MATCH(INDEX(MarketingVariances[],ROW()-ROW(MarketingVariances[[#Headers],[מרץ]]),1),INDEX(MarketingPlan[],,1),0),MATCH(MarketingVariances[[#Headers],[מרץ]],MarketingActual[#Headers],0))</f>
        <v>0</v>
      </c>
      <c r="F23" s="103">
        <f>INDEX(MarketingPlan[],MATCH(INDEX(MarketingVariances[],ROW()-ROW(MarketingVariances[[#Headers],[אפר]]),1),INDEX(MarketingPlan[],,1),0),MATCH(MarketingVariances[[#Headers],[אפר]],MarketingPlan[#Headers],0))-INDEX(MarketingActual[],MATCH(INDEX(MarketingVariances[],ROW()-ROW(MarketingVariances[[#Headers],[אפר]]),1),INDEX(MarketingPlan[],,1),0),MATCH(MarketingVariances[[#Headers],[אפר]],MarketingActual[#Headers],0))</f>
        <v>0</v>
      </c>
      <c r="G23" s="103">
        <f>INDEX(MarketingPlan[],MATCH(INDEX(MarketingVariances[],ROW()-ROW(MarketingVariances[[#Headers],[מאי]]),1),INDEX(MarketingPlan[],,1),0),MATCH(MarketingVariances[[#Headers],[מאי]],MarketingPlan[#Headers],0))-INDEX(MarketingActual[],MATCH(INDEX(MarketingVariances[],ROW()-ROW(MarketingVariances[[#Headers],[מאי]]),1),INDEX(MarketingPlan[],,1),0),MATCH(MarketingVariances[[#Headers],[מאי]],MarketingActual[#Headers],0))</f>
        <v>0</v>
      </c>
      <c r="H23" s="103">
        <f>INDEX(MarketingPlan[],MATCH(INDEX(MarketingVariances[],ROW()-ROW(MarketingVariances[[#Headers],[יונ]]),1),INDEX(MarketingPlan[],,1),0),MATCH(MarketingVariances[[#Headers],[יונ]],MarketingPlan[#Headers],0))-INDEX(MarketingActual[],MATCH(INDEX(MarketingVariances[],ROW()-ROW(MarketingVariances[[#Headers],[יונ]]),1),INDEX(MarketingPlan[],,1),0),MATCH(MarketingVariances[[#Headers],[יונ]],MarketingActual[#Headers],0))</f>
        <v>-500</v>
      </c>
      <c r="I23" s="103">
        <f>INDEX(MarketingPlan[],MATCH(INDEX(MarketingVariances[],ROW()-ROW(MarketingVariances[[#Headers],[יול]]),1),INDEX(MarketingPlan[],,1),0),MATCH(MarketingVariances[[#Headers],[יול]],MarketingPlan[#Headers],0))-INDEX(MarketingActual[],MATCH(INDEX(MarketingVariances[],ROW()-ROW(MarketingVariances[[#Headers],[יול]]),1),INDEX(MarketingPlan[],,1),0),MATCH(MarketingVariances[[#Headers],[יול]],MarketingActual[#Headers],0))</f>
        <v>200</v>
      </c>
      <c r="J23" s="103">
        <f>INDEX(MarketingPlan[],MATCH(INDEX(MarketingVariances[],ROW()-ROW(MarketingVariances[[#Headers],[אוג]]),1),INDEX(MarketingPlan[],,1),0),MATCH(MarketingVariances[[#Headers],[אוג]],MarketingPlan[#Headers],0))-INDEX(MarketingActual[],MATCH(INDEX(MarketingVariances[],ROW()-ROW(MarketingVariances[[#Headers],[אוג]]),1),INDEX(MarketingPlan[],,1),0),MATCH(MarketingVariances[[#Headers],[אוג]],MarketingActual[#Headers],0))</f>
        <v>200</v>
      </c>
      <c r="K23" s="103">
        <f>INDEX(MarketingPlan[],MATCH(INDEX(MarketingVariances[],ROW()-ROW(MarketingVariances[[#Headers],[ספט]]),1),INDEX(MarketingPlan[],,1),0),MATCH(MarketingVariances[[#Headers],[ספט]],MarketingPlan[#Headers],0))-INDEX(MarketingActual[],MATCH(INDEX(MarketingVariances[],ROW()-ROW(MarketingVariances[[#Headers],[ספט]]),1),INDEX(MarketingPlan[],,1),0),MATCH(MarketingVariances[[#Headers],[ספט]],MarketingActual[#Headers],0))</f>
        <v>200</v>
      </c>
      <c r="L23" s="103">
        <f>INDEX(MarketingPlan[],MATCH(INDEX(MarketingVariances[],ROW()-ROW(MarketingVariances[[#Headers],[אוק]]),1),INDEX(MarketingPlan[],,1),0),MATCH(MarketingVariances[[#Headers],[אוק]],MarketingPlan[#Headers],0))-INDEX(MarketingActual[],MATCH(INDEX(MarketingVariances[],ROW()-ROW(MarketingVariances[[#Headers],[אוק]]),1),INDEX(MarketingPlan[],,1),0),MATCH(MarketingVariances[[#Headers],[אוק]],MarketingActual[#Headers],0))</f>
        <v>200</v>
      </c>
      <c r="M23" s="103">
        <f>INDEX(MarketingPlan[],MATCH(INDEX(MarketingVariances[],ROW()-ROW(MarketingVariances[[#Headers],[נוב]]),1),INDEX(MarketingPlan[],,1),0),MATCH(MarketingVariances[[#Headers],[נוב]],MarketingPlan[#Headers],0))-INDEX(MarketingActual[],MATCH(INDEX(MarketingVariances[],ROW()-ROW(MarketingVariances[[#Headers],[נוב]]),1),INDEX(MarketingPlan[],,1),0),MATCH(MarketingVariances[[#Headers],[נוב]],MarketingActual[#Headers],0))</f>
        <v>200</v>
      </c>
      <c r="N23" s="103">
        <f>INDEX(MarketingPlan[],MATCH(INDEX(MarketingVariances[],ROW()-ROW(MarketingVariances[[#Headers],[דצמ]]),1),INDEX(MarketingPlan[],,1),0),MATCH(MarketingVariances[[#Headers],[דצמ]],MarketingPlan[#Headers],0))-INDEX(MarketingActual[],MATCH(INDEX(MarketingVariances[],ROW()-ROW(MarketingVariances[[#Headers],[דצמ]]),1),INDEX(MarketingPlan[],,1),0),MATCH(MarketingVariances[[#Headers],[דצמ]],MarketingActual[#Headers],0))</f>
        <v>1000</v>
      </c>
      <c r="O23" s="104">
        <f>SUM(MarketingVariances[[#This Row],[ינו]:[דצמ]])</f>
        <v>1500</v>
      </c>
      <c r="P23" s="22"/>
    </row>
    <row r="24" spans="1:16" ht="24.95" customHeight="1" thickBot="1" x14ac:dyDescent="0.3">
      <c r="A24" s="17"/>
      <c r="B24" s="42" t="s">
        <v>26</v>
      </c>
      <c r="C24" s="103">
        <f>INDEX(MarketingPlan[],MATCH(INDEX(MarketingVariances[],ROW()-ROW(MarketingVariances[[#Headers],[ינו]]),1),INDEX(MarketingPlan[],,1),0),MATCH(MarketingVariances[[#Headers],[ינו]],MarketingPlan[#Headers],0))-INDEX(MarketingActual[],MATCH(INDEX(MarketingVariances[],ROW()-ROW(MarketingVariances[[#Headers],[ינו]]),1),INDEX(MarketingPlan[],,1),0),MATCH(MarketingVariances[[#Headers],[ינו]],MarketingActual[#Headers],0))</f>
        <v>200</v>
      </c>
      <c r="D24" s="103">
        <f>INDEX(MarketingPlan[],MATCH(INDEX(MarketingVariances[],ROW()-ROW(MarketingVariances[[#Headers],[פבר]]),1),INDEX(MarketingPlan[],,1),0),MATCH(MarketingVariances[[#Headers],[פבר]],MarketingPlan[#Headers],0))-INDEX(MarketingActual[],MATCH(INDEX(MarketingVariances[],ROW()-ROW(MarketingVariances[[#Headers],[פבר]]),1),INDEX(MarketingPlan[],,1),0),MATCH(MarketingVariances[[#Headers],[פבר]],MarketingActual[#Headers],0))</f>
        <v>0</v>
      </c>
      <c r="E24" s="103">
        <f>INDEX(MarketingPlan[],MATCH(INDEX(MarketingVariances[],ROW()-ROW(MarketingVariances[[#Headers],[מרץ]]),1),INDEX(MarketingPlan[],,1),0),MATCH(MarketingVariances[[#Headers],[מרץ]],MarketingPlan[#Headers],0))-INDEX(MarketingActual[],MATCH(INDEX(MarketingVariances[],ROW()-ROW(MarketingVariances[[#Headers],[מרץ]]),1),INDEX(MarketingPlan[],,1),0),MATCH(MarketingVariances[[#Headers],[מרץ]],MarketingActual[#Headers],0))</f>
        <v>0</v>
      </c>
      <c r="F24" s="103">
        <f>INDEX(MarketingPlan[],MATCH(INDEX(MarketingVariances[],ROW()-ROW(MarketingVariances[[#Headers],[אפר]]),1),INDEX(MarketingPlan[],,1),0),MATCH(MarketingVariances[[#Headers],[אפר]],MarketingPlan[#Headers],0))-INDEX(MarketingActual[],MATCH(INDEX(MarketingVariances[],ROW()-ROW(MarketingVariances[[#Headers],[אפר]]),1),INDEX(MarketingPlan[],,1),0),MATCH(MarketingVariances[[#Headers],[אפר]],MarketingActual[#Headers],0))</f>
        <v>-500</v>
      </c>
      <c r="G24" s="103">
        <f>INDEX(MarketingPlan[],MATCH(INDEX(MarketingVariances[],ROW()-ROW(MarketingVariances[[#Headers],[מאי]]),1),INDEX(MarketingPlan[],,1),0),MATCH(MarketingVariances[[#Headers],[מאי]],MarketingPlan[#Headers],0))-INDEX(MarketingActual[],MATCH(INDEX(MarketingVariances[],ROW()-ROW(MarketingVariances[[#Headers],[מאי]]),1),INDEX(MarketingPlan[],,1),0),MATCH(MarketingVariances[[#Headers],[מאי]],MarketingActual[#Headers],0))</f>
        <v>0</v>
      </c>
      <c r="H24" s="103">
        <f>INDEX(MarketingPlan[],MATCH(INDEX(MarketingVariances[],ROW()-ROW(MarketingVariances[[#Headers],[יונ]]),1),INDEX(MarketingPlan[],,1),0),MATCH(MarketingVariances[[#Headers],[יונ]],MarketingPlan[#Headers],0))-INDEX(MarketingActual[],MATCH(INDEX(MarketingVariances[],ROW()-ROW(MarketingVariances[[#Headers],[יונ]]),1),INDEX(MarketingPlan[],,1),0),MATCH(MarketingVariances[[#Headers],[יונ]],MarketingActual[#Headers],0))</f>
        <v>0</v>
      </c>
      <c r="I24" s="103">
        <f>INDEX(MarketingPlan[],MATCH(INDEX(MarketingVariances[],ROW()-ROW(MarketingVariances[[#Headers],[יול]]),1),INDEX(MarketingPlan[],,1),0),MATCH(MarketingVariances[[#Headers],[יול]],MarketingPlan[#Headers],0))-INDEX(MarketingActual[],MATCH(INDEX(MarketingVariances[],ROW()-ROW(MarketingVariances[[#Headers],[יול]]),1),INDEX(MarketingPlan[],,1),0),MATCH(MarketingVariances[[#Headers],[יול]],MarketingActual[#Headers],0))</f>
        <v>5000</v>
      </c>
      <c r="J24" s="103">
        <f>INDEX(MarketingPlan[],MATCH(INDEX(MarketingVariances[],ROW()-ROW(MarketingVariances[[#Headers],[אוג]]),1),INDEX(MarketingPlan[],,1),0),MATCH(MarketingVariances[[#Headers],[אוג]],MarketingPlan[#Headers],0))-INDEX(MarketingActual[],MATCH(INDEX(MarketingVariances[],ROW()-ROW(MarketingVariances[[#Headers],[אוג]]),1),INDEX(MarketingPlan[],,1),0),MATCH(MarketingVariances[[#Headers],[אוג]],MarketingActual[#Headers],0))</f>
        <v>0</v>
      </c>
      <c r="K24" s="103">
        <f>INDEX(MarketingPlan[],MATCH(INDEX(MarketingVariances[],ROW()-ROW(MarketingVariances[[#Headers],[ספט]]),1),INDEX(MarketingPlan[],,1),0),MATCH(MarketingVariances[[#Headers],[ספט]],MarketingPlan[#Headers],0))-INDEX(MarketingActual[],MATCH(INDEX(MarketingVariances[],ROW()-ROW(MarketingVariances[[#Headers],[ספט]]),1),INDEX(MarketingPlan[],,1),0),MATCH(MarketingVariances[[#Headers],[ספט]],MarketingActual[#Headers],0))</f>
        <v>0</v>
      </c>
      <c r="L24" s="103">
        <f>INDEX(MarketingPlan[],MATCH(INDEX(MarketingVariances[],ROW()-ROW(MarketingVariances[[#Headers],[אוק]]),1),INDEX(MarketingPlan[],,1),0),MATCH(MarketingVariances[[#Headers],[אוק]],MarketingPlan[#Headers],0))-INDEX(MarketingActual[],MATCH(INDEX(MarketingVariances[],ROW()-ROW(MarketingVariances[[#Headers],[אוק]]),1),INDEX(MarketingPlan[],,1),0),MATCH(MarketingVariances[[#Headers],[אוק]],MarketingActual[#Headers],0))</f>
        <v>5000</v>
      </c>
      <c r="M24" s="103">
        <f>INDEX(MarketingPlan[],MATCH(INDEX(MarketingVariances[],ROW()-ROW(MarketingVariances[[#Headers],[נוב]]),1),INDEX(MarketingPlan[],,1),0),MATCH(MarketingVariances[[#Headers],[נוב]],MarketingPlan[#Headers],0))-INDEX(MarketingActual[],MATCH(INDEX(MarketingVariances[],ROW()-ROW(MarketingVariances[[#Headers],[נוב]]),1),INDEX(MarketingPlan[],,1),0),MATCH(MarketingVariances[[#Headers],[נוב]],MarketingActual[#Headers],0))</f>
        <v>0</v>
      </c>
      <c r="N24" s="103">
        <f>INDEX(MarketingPlan[],MATCH(INDEX(MarketingVariances[],ROW()-ROW(MarketingVariances[[#Headers],[דצמ]]),1),INDEX(MarketingPlan[],,1),0),MATCH(MarketingVariances[[#Headers],[דצמ]],MarketingPlan[#Headers],0))-INDEX(MarketingActual[],MATCH(INDEX(MarketingVariances[],ROW()-ROW(MarketingVariances[[#Headers],[דצמ]]),1),INDEX(MarketingPlan[],,1),0),MATCH(MarketingVariances[[#Headers],[דצמ]],MarketingActual[#Headers],0))</f>
        <v>0</v>
      </c>
      <c r="O24" s="104">
        <f>SUM(MarketingVariances[[#This Row],[ינו]:[דצמ]])</f>
        <v>9700</v>
      </c>
      <c r="P24" s="22"/>
    </row>
    <row r="25" spans="1:16" ht="24.95" customHeight="1" thickBot="1" x14ac:dyDescent="0.3">
      <c r="A25" s="17"/>
      <c r="B25" s="42" t="s">
        <v>27</v>
      </c>
      <c r="C25" s="103">
        <f>INDEX(MarketingPlan[],MATCH(INDEX(MarketingVariances[],ROW()-ROW(MarketingVariances[[#Headers],[ינו]]),1),INDEX(MarketingPlan[],,1),0),MATCH(MarketingVariances[[#Headers],[ינו]],MarketingPlan[#Headers],0))-INDEX(MarketingActual[],MATCH(INDEX(MarketingVariances[],ROW()-ROW(MarketingVariances[[#Headers],[ינו]]),1),INDEX(MarketingPlan[],,1),0),MATCH(MarketingVariances[[#Headers],[ינו]],MarketingActual[#Headers],0))</f>
        <v>100</v>
      </c>
      <c r="D25" s="103">
        <f>INDEX(MarketingPlan[],MATCH(INDEX(MarketingVariances[],ROW()-ROW(MarketingVariances[[#Headers],[פבר]]),1),INDEX(MarketingPlan[],,1),0),MATCH(MarketingVariances[[#Headers],[פבר]],MarketingPlan[#Headers],0))-INDEX(MarketingActual[],MATCH(INDEX(MarketingVariances[],ROW()-ROW(MarketingVariances[[#Headers],[פבר]]),1),INDEX(MarketingPlan[],,1),0),MATCH(MarketingVariances[[#Headers],[פבר]],MarketingActual[#Headers],0))</f>
        <v>-300</v>
      </c>
      <c r="E25" s="103">
        <f>INDEX(MarketingPlan[],MATCH(INDEX(MarketingVariances[],ROW()-ROW(MarketingVariances[[#Headers],[מרץ]]),1),INDEX(MarketingPlan[],,1),0),MATCH(MarketingVariances[[#Headers],[מרץ]],MarketingPlan[#Headers],0))-INDEX(MarketingActual[],MATCH(INDEX(MarketingVariances[],ROW()-ROW(MarketingVariances[[#Headers],[מרץ]]),1),INDEX(MarketingPlan[],,1),0),MATCH(MarketingVariances[[#Headers],[מרץ]],MarketingActual[#Headers],0))</f>
        <v>100</v>
      </c>
      <c r="F25" s="103">
        <f>INDEX(MarketingPlan[],MATCH(INDEX(MarketingVariances[],ROW()-ROW(MarketingVariances[[#Headers],[אפר]]),1),INDEX(MarketingPlan[],,1),0),MATCH(MarketingVariances[[#Headers],[אפר]],MarketingPlan[#Headers],0))-INDEX(MarketingActual[],MATCH(INDEX(MarketingVariances[],ROW()-ROW(MarketingVariances[[#Headers],[אפר]]),1),INDEX(MarketingPlan[],,1),0),MATCH(MarketingVariances[[#Headers],[אפר]],MarketingActual[#Headers],0))</f>
        <v>100</v>
      </c>
      <c r="G25" s="103">
        <f>INDEX(MarketingPlan[],MATCH(INDEX(MarketingVariances[],ROW()-ROW(MarketingVariances[[#Headers],[מאי]]),1),INDEX(MarketingPlan[],,1),0),MATCH(MarketingVariances[[#Headers],[מאי]],MarketingPlan[#Headers],0))-INDEX(MarketingActual[],MATCH(INDEX(MarketingVariances[],ROW()-ROW(MarketingVariances[[#Headers],[מאי]]),1),INDEX(MarketingPlan[],,1),0),MATCH(MarketingVariances[[#Headers],[מאי]],MarketingActual[#Headers],0))</f>
        <v>-400</v>
      </c>
      <c r="H25" s="103">
        <f>INDEX(MarketingPlan[],MATCH(INDEX(MarketingVariances[],ROW()-ROW(MarketingVariances[[#Headers],[יונ]]),1),INDEX(MarketingPlan[],,1),0),MATCH(MarketingVariances[[#Headers],[יונ]],MarketingPlan[#Headers],0))-INDEX(MarketingActual[],MATCH(INDEX(MarketingVariances[],ROW()-ROW(MarketingVariances[[#Headers],[יונ]]),1),INDEX(MarketingPlan[],,1),0),MATCH(MarketingVariances[[#Headers],[יונ]],MarketingActual[#Headers],0))</f>
        <v>20</v>
      </c>
      <c r="I25" s="103">
        <f>INDEX(MarketingPlan[],MATCH(INDEX(MarketingVariances[],ROW()-ROW(MarketingVariances[[#Headers],[יול]]),1),INDEX(MarketingPlan[],,1),0),MATCH(MarketingVariances[[#Headers],[יול]],MarketingPlan[#Headers],0))-INDEX(MarketingActual[],MATCH(INDEX(MarketingVariances[],ROW()-ROW(MarketingVariances[[#Headers],[יול]]),1),INDEX(MarketingPlan[],,1),0),MATCH(MarketingVariances[[#Headers],[יול]],MarketingActual[#Headers],0))</f>
        <v>200</v>
      </c>
      <c r="J25" s="103">
        <f>INDEX(MarketingPlan[],MATCH(INDEX(MarketingVariances[],ROW()-ROW(MarketingVariances[[#Headers],[אוג]]),1),INDEX(MarketingPlan[],,1),0),MATCH(MarketingVariances[[#Headers],[אוג]],MarketingPlan[#Headers],0))-INDEX(MarketingActual[],MATCH(INDEX(MarketingVariances[],ROW()-ROW(MarketingVariances[[#Headers],[אוג]]),1),INDEX(MarketingPlan[],,1),0),MATCH(MarketingVariances[[#Headers],[אוג]],MarketingActual[#Headers],0))</f>
        <v>200</v>
      </c>
      <c r="K25" s="103">
        <f>INDEX(MarketingPlan[],MATCH(INDEX(MarketingVariances[],ROW()-ROW(MarketingVariances[[#Headers],[ספט]]),1),INDEX(MarketingPlan[],,1),0),MATCH(MarketingVariances[[#Headers],[ספט]],MarketingPlan[#Headers],0))-INDEX(MarketingActual[],MATCH(INDEX(MarketingVariances[],ROW()-ROW(MarketingVariances[[#Headers],[ספט]]),1),INDEX(MarketingPlan[],,1),0),MATCH(MarketingVariances[[#Headers],[ספט]],MarketingActual[#Headers],0))</f>
        <v>200</v>
      </c>
      <c r="L25" s="103">
        <f>INDEX(MarketingPlan[],MATCH(INDEX(MarketingVariances[],ROW()-ROW(MarketingVariances[[#Headers],[אוק]]),1),INDEX(MarketingPlan[],,1),0),MATCH(MarketingVariances[[#Headers],[אוק]],MarketingPlan[#Headers],0))-INDEX(MarketingActual[],MATCH(INDEX(MarketingVariances[],ROW()-ROW(MarketingVariances[[#Headers],[אוק]]),1),INDEX(MarketingPlan[],,1),0),MATCH(MarketingVariances[[#Headers],[אוק]],MarketingActual[#Headers],0))</f>
        <v>200</v>
      </c>
      <c r="M25" s="103">
        <f>INDEX(MarketingPlan[],MATCH(INDEX(MarketingVariances[],ROW()-ROW(MarketingVariances[[#Headers],[נוב]]),1),INDEX(MarketingPlan[],,1),0),MATCH(MarketingVariances[[#Headers],[נוב]],MarketingPlan[#Headers],0))-INDEX(MarketingActual[],MATCH(INDEX(MarketingVariances[],ROW()-ROW(MarketingVariances[[#Headers],[נוב]]),1),INDEX(MarketingPlan[],,1),0),MATCH(MarketingVariances[[#Headers],[נוב]],MarketingActual[#Headers],0))</f>
        <v>200</v>
      </c>
      <c r="N25" s="103">
        <f>INDEX(MarketingPlan[],MATCH(INDEX(MarketingVariances[],ROW()-ROW(MarketingVariances[[#Headers],[דצמ]]),1),INDEX(MarketingPlan[],,1),0),MATCH(MarketingVariances[[#Headers],[דצמ]],MarketingPlan[#Headers],0))-INDEX(MarketingActual[],MATCH(INDEX(MarketingVariances[],ROW()-ROW(MarketingVariances[[#Headers],[דצמ]]),1),INDEX(MarketingPlan[],,1),0),MATCH(MarketingVariances[[#Headers],[דצמ]],MarketingActual[#Headers],0))</f>
        <v>200</v>
      </c>
      <c r="O25" s="104">
        <f>SUM(MarketingVariances[[#This Row],[ינו]:[דצמ]])</f>
        <v>820</v>
      </c>
      <c r="P25" s="22"/>
    </row>
    <row r="26" spans="1:16" ht="24.95" customHeight="1" thickBot="1" x14ac:dyDescent="0.3">
      <c r="A26" s="17"/>
      <c r="B26" s="42" t="s">
        <v>28</v>
      </c>
      <c r="C26" s="103">
        <f>INDEX(MarketingPlan[],MATCH(INDEX(MarketingVariances[],ROW()-ROW(MarketingVariances[[#Headers],[ינו]]),1),INDEX(MarketingPlan[],,1),0),MATCH(MarketingVariances[[#Headers],[ינו]],MarketingPlan[#Headers],0))-INDEX(MarketingActual[],MATCH(INDEX(MarketingVariances[],ROW()-ROW(MarketingVariances[[#Headers],[ינו]]),1),INDEX(MarketingPlan[],,1),0),MATCH(MarketingVariances[[#Headers],[ינו]],MarketingActual[#Headers],0))</f>
        <v>200</v>
      </c>
      <c r="D26" s="103">
        <f>INDEX(MarketingPlan[],MATCH(INDEX(MarketingVariances[],ROW()-ROW(MarketingVariances[[#Headers],[פבר]]),1),INDEX(MarketingPlan[],,1),0),MATCH(MarketingVariances[[#Headers],[פבר]],MarketingPlan[#Headers],0))-INDEX(MarketingActual[],MATCH(INDEX(MarketingVariances[],ROW()-ROW(MarketingVariances[[#Headers],[פבר]]),1),INDEX(MarketingPlan[],,1),0),MATCH(MarketingVariances[[#Headers],[פבר]],MarketingActual[#Headers],0))</f>
        <v>-200</v>
      </c>
      <c r="E26" s="103">
        <f>INDEX(MarketingPlan[],MATCH(INDEX(MarketingVariances[],ROW()-ROW(MarketingVariances[[#Headers],[מרץ]]),1),INDEX(MarketingPlan[],,1),0),MATCH(MarketingVariances[[#Headers],[מרץ]],MarketingPlan[#Headers],0))-INDEX(MarketingActual[],MATCH(INDEX(MarketingVariances[],ROW()-ROW(MarketingVariances[[#Headers],[מרץ]]),1),INDEX(MarketingPlan[],,1),0),MATCH(MarketingVariances[[#Headers],[מרץ]],MarketingActual[#Headers],0))</f>
        <v>-200</v>
      </c>
      <c r="F26" s="103">
        <f>INDEX(MarketingPlan[],MATCH(INDEX(MarketingVariances[],ROW()-ROW(MarketingVariances[[#Headers],[אפר]]),1),INDEX(MarketingPlan[],,1),0),MATCH(MarketingVariances[[#Headers],[אפר]],MarketingPlan[#Headers],0))-INDEX(MarketingActual[],MATCH(INDEX(MarketingVariances[],ROW()-ROW(MarketingVariances[[#Headers],[אפר]]),1),INDEX(MarketingPlan[],,1),0),MATCH(MarketingVariances[[#Headers],[אפר]],MarketingActual[#Headers],0))</f>
        <v>300</v>
      </c>
      <c r="G26" s="103">
        <f>INDEX(MarketingPlan[],MATCH(INDEX(MarketingVariances[],ROW()-ROW(MarketingVariances[[#Headers],[מאי]]),1),INDEX(MarketingPlan[],,1),0),MATCH(MarketingVariances[[#Headers],[מאי]],MarketingPlan[#Headers],0))-INDEX(MarketingActual[],MATCH(INDEX(MarketingVariances[],ROW()-ROW(MarketingVariances[[#Headers],[מאי]]),1),INDEX(MarketingPlan[],,1),0),MATCH(MarketingVariances[[#Headers],[מאי]],MarketingActual[#Headers],0))</f>
        <v>500</v>
      </c>
      <c r="H26" s="103">
        <f>INDEX(MarketingPlan[],MATCH(INDEX(MarketingVariances[],ROW()-ROW(MarketingVariances[[#Headers],[יונ]]),1),INDEX(MarketingPlan[],,1),0),MATCH(MarketingVariances[[#Headers],[יונ]],MarketingPlan[#Headers],0))-INDEX(MarketingActual[],MATCH(INDEX(MarketingVariances[],ROW()-ROW(MarketingVariances[[#Headers],[יונ]]),1),INDEX(MarketingPlan[],,1),0),MATCH(MarketingVariances[[#Headers],[יונ]],MarketingActual[#Headers],0))</f>
        <v>-300</v>
      </c>
      <c r="I26" s="103">
        <f>INDEX(MarketingPlan[],MATCH(INDEX(MarketingVariances[],ROW()-ROW(MarketingVariances[[#Headers],[יול]]),1),INDEX(MarketingPlan[],,1),0),MATCH(MarketingVariances[[#Headers],[יול]],MarketingPlan[#Headers],0))-INDEX(MarketingActual[],MATCH(INDEX(MarketingVariances[],ROW()-ROW(MarketingVariances[[#Headers],[יול]]),1),INDEX(MarketingPlan[],,1),0),MATCH(MarketingVariances[[#Headers],[יול]],MarketingActual[#Headers],0))</f>
        <v>2000</v>
      </c>
      <c r="J26" s="103">
        <f>INDEX(MarketingPlan[],MATCH(INDEX(MarketingVariances[],ROW()-ROW(MarketingVariances[[#Headers],[אוג]]),1),INDEX(MarketingPlan[],,1),0),MATCH(MarketingVariances[[#Headers],[אוג]],MarketingPlan[#Headers],0))-INDEX(MarketingActual[],MATCH(INDEX(MarketingVariances[],ROW()-ROW(MarketingVariances[[#Headers],[אוג]]),1),INDEX(MarketingPlan[],,1),0),MATCH(MarketingVariances[[#Headers],[אוג]],MarketingActual[#Headers],0))</f>
        <v>5000</v>
      </c>
      <c r="K26" s="103">
        <f>INDEX(MarketingPlan[],MATCH(INDEX(MarketingVariances[],ROW()-ROW(MarketingVariances[[#Headers],[ספט]]),1),INDEX(MarketingPlan[],,1),0),MATCH(MarketingVariances[[#Headers],[ספט]],MarketingPlan[#Headers],0))-INDEX(MarketingActual[],MATCH(INDEX(MarketingVariances[],ROW()-ROW(MarketingVariances[[#Headers],[ספט]]),1),INDEX(MarketingPlan[],,1),0),MATCH(MarketingVariances[[#Headers],[ספט]],MarketingActual[#Headers],0))</f>
        <v>2000</v>
      </c>
      <c r="L26" s="103">
        <f>INDEX(MarketingPlan[],MATCH(INDEX(MarketingVariances[],ROW()-ROW(MarketingVariances[[#Headers],[אוק]]),1),INDEX(MarketingPlan[],,1),0),MATCH(MarketingVariances[[#Headers],[אוק]],MarketingPlan[#Headers],0))-INDEX(MarketingActual[],MATCH(INDEX(MarketingVariances[],ROW()-ROW(MarketingVariances[[#Headers],[אוק]]),1),INDEX(MarketingPlan[],,1),0),MATCH(MarketingVariances[[#Headers],[אוק]],MarketingActual[#Headers],0))</f>
        <v>2000</v>
      </c>
      <c r="M26" s="103">
        <f>INDEX(MarketingPlan[],MATCH(INDEX(MarketingVariances[],ROW()-ROW(MarketingVariances[[#Headers],[נוב]]),1),INDEX(MarketingPlan[],,1),0),MATCH(MarketingVariances[[#Headers],[נוב]],MarketingPlan[#Headers],0))-INDEX(MarketingActual[],MATCH(INDEX(MarketingVariances[],ROW()-ROW(MarketingVariances[[#Headers],[נוב]]),1),INDEX(MarketingPlan[],,1),0),MATCH(MarketingVariances[[#Headers],[נוב]],MarketingActual[#Headers],0))</f>
        <v>2000</v>
      </c>
      <c r="N26" s="103">
        <f>INDEX(MarketingPlan[],MATCH(INDEX(MarketingVariances[],ROW()-ROW(MarketingVariances[[#Headers],[דצמ]]),1),INDEX(MarketingPlan[],,1),0),MATCH(MarketingVariances[[#Headers],[דצמ]],MarketingPlan[#Headers],0))-INDEX(MarketingActual[],MATCH(INDEX(MarketingVariances[],ROW()-ROW(MarketingVariances[[#Headers],[דצמ]]),1),INDEX(MarketingPlan[],,1),0),MATCH(MarketingVariances[[#Headers],[דצמ]],MarketingActual[#Headers],0))</f>
        <v>5000</v>
      </c>
      <c r="O26" s="104">
        <f>SUM(MarketingVariances[[#This Row],[ינו]:[דצמ]])</f>
        <v>18300</v>
      </c>
      <c r="P26" s="22"/>
    </row>
    <row r="27" spans="1:16" ht="24.95" customHeight="1" thickBot="1" x14ac:dyDescent="0.3">
      <c r="A27" s="17"/>
      <c r="B27" s="42" t="s">
        <v>29</v>
      </c>
      <c r="C27" s="103">
        <f>INDEX(MarketingPlan[],MATCH(INDEX(MarketingVariances[],ROW()-ROW(MarketingVariances[[#Headers],[ינו]]),1),INDEX(MarketingPlan[],,1),0),MATCH(MarketingVariances[[#Headers],[ינו]],MarketingPlan[#Headers],0))-INDEX(MarketingActual[],MATCH(INDEX(MarketingVariances[],ROW()-ROW(MarketingVariances[[#Headers],[ינו]]),1),INDEX(MarketingPlan[],,1),0),MATCH(MarketingVariances[[#Headers],[ינו]],MarketingActual[#Headers],0))</f>
        <v>55</v>
      </c>
      <c r="D27" s="103">
        <f>INDEX(MarketingPlan[],MATCH(INDEX(MarketingVariances[],ROW()-ROW(MarketingVariances[[#Headers],[פבר]]),1),INDEX(MarketingPlan[],,1),0),MATCH(MarketingVariances[[#Headers],[פבר]],MarketingPlan[#Headers],0))-INDEX(MarketingActual[],MATCH(INDEX(MarketingVariances[],ROW()-ROW(MarketingVariances[[#Headers],[פבר]]),1),INDEX(MarketingPlan[],,1),0),MATCH(MarketingVariances[[#Headers],[פבר]],MarketingActual[#Headers],0))</f>
        <v>44</v>
      </c>
      <c r="E27" s="103">
        <f>INDEX(MarketingPlan[],MATCH(INDEX(MarketingVariances[],ROW()-ROW(MarketingVariances[[#Headers],[מרץ]]),1),INDEX(MarketingPlan[],,1),0),MATCH(MarketingVariances[[#Headers],[מרץ]],MarketingPlan[#Headers],0))-INDEX(MarketingActual[],MATCH(INDEX(MarketingVariances[],ROW()-ROW(MarketingVariances[[#Headers],[מרץ]]),1),INDEX(MarketingPlan[],,1),0),MATCH(MarketingVariances[[#Headers],[מרץ]],MarketingActual[#Headers],0))</f>
        <v>77</v>
      </c>
      <c r="F27" s="103">
        <f>INDEX(MarketingPlan[],MATCH(INDEX(MarketingVariances[],ROW()-ROW(MarketingVariances[[#Headers],[אפר]]),1),INDEX(MarketingPlan[],,1),0),MATCH(MarketingVariances[[#Headers],[אפר]],MarketingPlan[#Headers],0))-INDEX(MarketingActual[],MATCH(INDEX(MarketingVariances[],ROW()-ROW(MarketingVariances[[#Headers],[אפר]]),1),INDEX(MarketingPlan[],,1),0),MATCH(MarketingVariances[[#Headers],[אפר]],MarketingActual[#Headers],0))</f>
        <v>-23</v>
      </c>
      <c r="G27" s="103">
        <f>INDEX(MarketingPlan[],MATCH(INDEX(MarketingVariances[],ROW()-ROW(MarketingVariances[[#Headers],[מאי]]),1),INDEX(MarketingPlan[],,1),0),MATCH(MarketingVariances[[#Headers],[מאי]],MarketingPlan[#Headers],0))-INDEX(MarketingActual[],MATCH(INDEX(MarketingVariances[],ROW()-ROW(MarketingVariances[[#Headers],[מאי]]),1),INDEX(MarketingPlan[],,1),0),MATCH(MarketingVariances[[#Headers],[מאי]],MarketingActual[#Headers],0))</f>
        <v>13</v>
      </c>
      <c r="H27" s="103">
        <f>INDEX(MarketingPlan[],MATCH(INDEX(MarketingVariances[],ROW()-ROW(MarketingVariances[[#Headers],[יונ]]),1),INDEX(MarketingPlan[],,1),0),MATCH(MarketingVariances[[#Headers],[יונ]],MarketingPlan[#Headers],0))-INDEX(MarketingActual[],MATCH(INDEX(MarketingVariances[],ROW()-ROW(MarketingVariances[[#Headers],[יונ]]),1),INDEX(MarketingPlan[],,1),0),MATCH(MarketingVariances[[#Headers],[יונ]],MarketingActual[#Headers],0))</f>
        <v>-45</v>
      </c>
      <c r="I27" s="103">
        <f>INDEX(MarketingPlan[],MATCH(INDEX(MarketingVariances[],ROW()-ROW(MarketingVariances[[#Headers],[יול]]),1),INDEX(MarketingPlan[],,1),0),MATCH(MarketingVariances[[#Headers],[יול]],MarketingPlan[#Headers],0))-INDEX(MarketingActual[],MATCH(INDEX(MarketingVariances[],ROW()-ROW(MarketingVariances[[#Headers],[יול]]),1),INDEX(MarketingPlan[],,1),0),MATCH(MarketingVariances[[#Headers],[יול]],MarketingActual[#Headers],0))</f>
        <v>200</v>
      </c>
      <c r="J27" s="103">
        <f>INDEX(MarketingPlan[],MATCH(INDEX(MarketingVariances[],ROW()-ROW(MarketingVariances[[#Headers],[אוג]]),1),INDEX(MarketingPlan[],,1),0),MATCH(MarketingVariances[[#Headers],[אוג]],MarketingPlan[#Headers],0))-INDEX(MarketingActual[],MATCH(INDEX(MarketingVariances[],ROW()-ROW(MarketingVariances[[#Headers],[אוג]]),1),INDEX(MarketingPlan[],,1),0),MATCH(MarketingVariances[[#Headers],[אוג]],MarketingActual[#Headers],0))</f>
        <v>200</v>
      </c>
      <c r="K27" s="103">
        <f>INDEX(MarketingPlan[],MATCH(INDEX(MarketingVariances[],ROW()-ROW(MarketingVariances[[#Headers],[ספט]]),1),INDEX(MarketingPlan[],,1),0),MATCH(MarketingVariances[[#Headers],[ספט]],MarketingPlan[#Headers],0))-INDEX(MarketingActual[],MATCH(INDEX(MarketingVariances[],ROW()-ROW(MarketingVariances[[#Headers],[ספט]]),1),INDEX(MarketingPlan[],,1),0),MATCH(MarketingVariances[[#Headers],[ספט]],MarketingActual[#Headers],0))</f>
        <v>200</v>
      </c>
      <c r="L27" s="103">
        <f>INDEX(MarketingPlan[],MATCH(INDEX(MarketingVariances[],ROW()-ROW(MarketingVariances[[#Headers],[אוק]]),1),INDEX(MarketingPlan[],,1),0),MATCH(MarketingVariances[[#Headers],[אוק]],MarketingPlan[#Headers],0))-INDEX(MarketingActual[],MATCH(INDEX(MarketingVariances[],ROW()-ROW(MarketingVariances[[#Headers],[אוק]]),1),INDEX(MarketingPlan[],,1),0),MATCH(MarketingVariances[[#Headers],[אוק]],MarketingActual[#Headers],0))</f>
        <v>200</v>
      </c>
      <c r="M27" s="103">
        <f>INDEX(MarketingPlan[],MATCH(INDEX(MarketingVariances[],ROW()-ROW(MarketingVariances[[#Headers],[נוב]]),1),INDEX(MarketingPlan[],,1),0),MATCH(MarketingVariances[[#Headers],[נוב]],MarketingPlan[#Headers],0))-INDEX(MarketingActual[],MATCH(INDEX(MarketingVariances[],ROW()-ROW(MarketingVariances[[#Headers],[נוב]]),1),INDEX(MarketingPlan[],,1),0),MATCH(MarketingVariances[[#Headers],[נוב]],MarketingActual[#Headers],0))</f>
        <v>200</v>
      </c>
      <c r="N27" s="103">
        <f>INDEX(MarketingPlan[],MATCH(INDEX(MarketingVariances[],ROW()-ROW(MarketingVariances[[#Headers],[דצמ]]),1),INDEX(MarketingPlan[],,1),0),MATCH(MarketingVariances[[#Headers],[דצמ]],MarketingPlan[#Headers],0))-INDEX(MarketingActual[],MATCH(INDEX(MarketingVariances[],ROW()-ROW(MarketingVariances[[#Headers],[דצמ]]),1),INDEX(MarketingPlan[],,1),0),MATCH(MarketingVariances[[#Headers],[דצמ]],MarketingActual[#Headers],0))</f>
        <v>200</v>
      </c>
      <c r="O27" s="104">
        <f>SUM(MarketingVariances[[#This Row],[ינו]:[דצמ]])</f>
        <v>1321</v>
      </c>
      <c r="P27" s="22"/>
    </row>
    <row r="28" spans="1:16" ht="24.95" customHeight="1" x14ac:dyDescent="0.25">
      <c r="A28" s="17"/>
      <c r="B28" s="52" t="s">
        <v>13</v>
      </c>
      <c r="C28" s="105">
        <f>SUBTOTAL(109,MarketingVariances[ינו])</f>
        <v>555</v>
      </c>
      <c r="D28" s="105">
        <f>SUBTOTAL(109,MarketingVariances[פבר])</f>
        <v>-456</v>
      </c>
      <c r="E28" s="105">
        <f>SUBTOTAL(109,MarketingVariances[מרץ])</f>
        <v>-23</v>
      </c>
      <c r="F28" s="105">
        <f>SUBTOTAL(109,MarketingVariances[אפר])</f>
        <v>-123</v>
      </c>
      <c r="G28" s="105">
        <f>SUBTOTAL(109,MarketingVariances[מאי])</f>
        <v>113</v>
      </c>
      <c r="H28" s="105">
        <f>SUBTOTAL(109,MarketingVariances[יונ])</f>
        <v>-825</v>
      </c>
      <c r="I28" s="105">
        <f>SUBTOTAL(109,MarketingVariances[יול])</f>
        <v>8100</v>
      </c>
      <c r="J28" s="105">
        <f>SUBTOTAL(109,MarketingVariances[אוג])</f>
        <v>6100</v>
      </c>
      <c r="K28" s="105">
        <f>SUBTOTAL(109,MarketingVariances[ספט])</f>
        <v>3100</v>
      </c>
      <c r="L28" s="105">
        <f>SUBTOTAL(109,MarketingVariances[אוק])</f>
        <v>8100</v>
      </c>
      <c r="M28" s="105">
        <f>SUBTOTAL(109,MarketingVariances[נוב])</f>
        <v>3100</v>
      </c>
      <c r="N28" s="105">
        <f>SUBTOTAL(109,MarketingVariances[דצמ])</f>
        <v>6900</v>
      </c>
      <c r="O28" s="106">
        <f>SUBTOTAL(109,MarketingVariances[שנה])</f>
        <v>34641</v>
      </c>
      <c r="P28" s="22"/>
    </row>
    <row r="29" spans="1:16" ht="21" customHeight="1" x14ac:dyDescent="0.25">
      <c r="A29" s="17"/>
      <c r="B29" s="25"/>
      <c r="C29" s="25"/>
      <c r="D29" s="79"/>
      <c r="E29" s="79"/>
      <c r="F29" s="79"/>
      <c r="G29" s="79"/>
      <c r="H29" s="79"/>
      <c r="I29" s="79"/>
      <c r="J29" s="79"/>
      <c r="K29" s="79"/>
      <c r="L29" s="79"/>
      <c r="M29" s="79"/>
      <c r="N29" s="79"/>
      <c r="O29" s="75"/>
      <c r="P29" s="22"/>
    </row>
    <row r="30" spans="1:16" ht="24.95" customHeight="1" thickBot="1" x14ac:dyDescent="0.3">
      <c r="A30" s="17"/>
      <c r="B30" s="32" t="s">
        <v>30</v>
      </c>
      <c r="C30" s="80" t="s">
        <v>36</v>
      </c>
      <c r="D30" s="80" t="s">
        <v>37</v>
      </c>
      <c r="E30" s="80" t="s">
        <v>38</v>
      </c>
      <c r="F30" s="80" t="s">
        <v>39</v>
      </c>
      <c r="G30" s="80" t="s">
        <v>40</v>
      </c>
      <c r="H30" s="80" t="s">
        <v>41</v>
      </c>
      <c r="I30" s="80" t="s">
        <v>42</v>
      </c>
      <c r="J30" s="80" t="s">
        <v>43</v>
      </c>
      <c r="K30" s="80" t="s">
        <v>46</v>
      </c>
      <c r="L30" s="80" t="s">
        <v>47</v>
      </c>
      <c r="M30" s="80" t="s">
        <v>48</v>
      </c>
      <c r="N30" s="80" t="s">
        <v>49</v>
      </c>
      <c r="O30" s="81" t="s">
        <v>50</v>
      </c>
      <c r="P30" s="22"/>
    </row>
    <row r="31" spans="1:16" ht="24.95" customHeight="1" thickBot="1" x14ac:dyDescent="0.3">
      <c r="A31" s="17"/>
      <c r="B31" s="42" t="s">
        <v>31</v>
      </c>
      <c r="C31" s="103">
        <f>INDEX(TrainingAndTravelPlan[],MATCH(INDEX(TrainingAndTravelVariances[],ROW()-ROW(TrainingAndTravelVariances[[#Headers],[ינו]]),1),INDEX(TrainingAndTravelPlan[],,1),0),MATCH(TrainingAndTravelVariances[[#Headers],[ינו]],TrainingAndTravelPlan[#Headers],0))-INDEX(TrainingAndTravelActual[],MATCH(INDEX(TrainingAndTravelVariances[],ROW()-ROW(TrainingAndTravelVariances[[#Headers],[ינו]]),1),INDEX(TrainingAndTravelPlan[],,1),0),MATCH(TrainingAndTravelVariances[[#Headers],[ינו]],TrainingAndTravelActual[#Headers],0))</f>
        <v>400</v>
      </c>
      <c r="D31" s="103">
        <f>INDEX(TrainingAndTravelPlan[],MATCH(INDEX(TrainingAndTravelVariances[],ROW()-ROW(TrainingAndTravelVariances[[#Headers],[פבר]]),1),INDEX(TrainingAndTravelPlan[],,1),0),MATCH(TrainingAndTravelVariances[[#Headers],[פבר]],TrainingAndTravelPlan[#Headers],0))-INDEX(TrainingAndTravelActual[],MATCH(INDEX(TrainingAndTravelVariances[],ROW()-ROW(TrainingAndTravelVariances[[#Headers],[פבר]]),1),INDEX(TrainingAndTravelPlan[],,1),0),MATCH(TrainingAndTravelVariances[[#Headers],[פבר]],TrainingAndTravelActual[#Headers],0))</f>
        <v>-400</v>
      </c>
      <c r="E31" s="103">
        <f>INDEX(TrainingAndTravelPlan[],MATCH(INDEX(TrainingAndTravelVariances[],ROW()-ROW(TrainingAndTravelVariances[[#Headers],[מרץ]]),1),INDEX(TrainingAndTravelPlan[],,1),0),MATCH(TrainingAndTravelVariances[[#Headers],[מרץ]],TrainingAndTravelPlan[#Headers],0))-INDEX(TrainingAndTravelActual[],MATCH(INDEX(TrainingAndTravelVariances[],ROW()-ROW(TrainingAndTravelVariances[[#Headers],[מרץ]]),1),INDEX(TrainingAndTravelPlan[],,1),0),MATCH(TrainingAndTravelVariances[[#Headers],[מרץ]],TrainingAndTravelActual[#Headers],0))</f>
        <v>600</v>
      </c>
      <c r="F31" s="103">
        <f>INDEX(TrainingAndTravelPlan[],MATCH(INDEX(TrainingAndTravelVariances[],ROW()-ROW(TrainingAndTravelVariances[[#Headers],[אפר]]),1),INDEX(TrainingAndTravelPlan[],,1),0),MATCH(TrainingAndTravelVariances[[#Headers],[אפר]],TrainingAndTravelPlan[#Headers],0))-INDEX(TrainingAndTravelActual[],MATCH(INDEX(TrainingAndTravelVariances[],ROW()-ROW(TrainingAndTravelVariances[[#Headers],[אפר]]),1),INDEX(TrainingAndTravelPlan[],,1),0),MATCH(TrainingAndTravelVariances[[#Headers],[אפר]],TrainingAndTravelActual[#Headers],0))</f>
        <v>400</v>
      </c>
      <c r="G31" s="103">
        <f>INDEX(TrainingAndTravelPlan[],MATCH(INDEX(TrainingAndTravelVariances[],ROW()-ROW(TrainingAndTravelVariances[[#Headers],[מאי]]),1),INDEX(TrainingAndTravelPlan[],,1),0),MATCH(TrainingAndTravelVariances[[#Headers],[מאי]],TrainingAndTravelPlan[#Headers],0))-INDEX(TrainingAndTravelActual[],MATCH(INDEX(TrainingAndTravelVariances[],ROW()-ROW(TrainingAndTravelVariances[[#Headers],[מאי]]),1),INDEX(TrainingAndTravelPlan[],,1),0),MATCH(TrainingAndTravelVariances[[#Headers],[מאי]],TrainingAndTravelActual[#Headers],0))</f>
        <v>800</v>
      </c>
      <c r="H31" s="103">
        <f>INDEX(TrainingAndTravelPlan[],MATCH(INDEX(TrainingAndTravelVariances[],ROW()-ROW(TrainingAndTravelVariances[[#Headers],[יונ]]),1),INDEX(TrainingAndTravelPlan[],,1),0),MATCH(TrainingAndTravelVariances[[#Headers],[יונ]],TrainingAndTravelPlan[#Headers],0))-INDEX(TrainingAndTravelActual[],MATCH(INDEX(TrainingAndTravelVariances[],ROW()-ROW(TrainingAndTravelVariances[[#Headers],[יונ]]),1),INDEX(TrainingAndTravelPlan[],,1),0),MATCH(TrainingAndTravelVariances[[#Headers],[יונ]],TrainingAndTravelActual[#Headers],0))</f>
        <v>-800</v>
      </c>
      <c r="I31" s="103">
        <f>INDEX(TrainingAndTravelPlan[],MATCH(INDEX(TrainingAndTravelVariances[],ROW()-ROW(TrainingAndTravelVariances[[#Headers],[יול]]),1),INDEX(TrainingAndTravelPlan[],,1),0),MATCH(TrainingAndTravelVariances[[#Headers],[יול]],TrainingAndTravelPlan[#Headers],0))-INDEX(TrainingAndTravelActual[],MATCH(INDEX(TrainingAndTravelVariances[],ROW()-ROW(TrainingAndTravelVariances[[#Headers],[יול]]),1),INDEX(TrainingAndTravelPlan[],,1),0),MATCH(TrainingAndTravelVariances[[#Headers],[יול]],TrainingAndTravelActual[#Headers],0))</f>
        <v>2000</v>
      </c>
      <c r="J31" s="103">
        <f>INDEX(TrainingAndTravelPlan[],MATCH(INDEX(TrainingAndTravelVariances[],ROW()-ROW(TrainingAndTravelVariances[[#Headers],[אוג]]),1),INDEX(TrainingAndTravelPlan[],,1),0),MATCH(TrainingAndTravelVariances[[#Headers],[אוג]],TrainingAndTravelPlan[#Headers],0))-INDEX(TrainingAndTravelActual[],MATCH(INDEX(TrainingAndTravelVariances[],ROW()-ROW(TrainingAndTravelVariances[[#Headers],[אוג]]),1),INDEX(TrainingAndTravelPlan[],,1),0),MATCH(TrainingAndTravelVariances[[#Headers],[אוג]],TrainingAndTravelActual[#Headers],0))</f>
        <v>2000</v>
      </c>
      <c r="K31" s="103">
        <f>INDEX(TrainingAndTravelPlan[],MATCH(INDEX(TrainingAndTravelVariances[],ROW()-ROW(TrainingAndTravelVariances[[#Headers],[ספט]]),1),INDEX(TrainingAndTravelPlan[],,1),0),MATCH(TrainingAndTravelVariances[[#Headers],[ספט]],TrainingAndTravelPlan[#Headers],0))-INDEX(TrainingAndTravelActual[],MATCH(INDEX(TrainingAndTravelVariances[],ROW()-ROW(TrainingAndTravelVariances[[#Headers],[ספט]]),1),INDEX(TrainingAndTravelPlan[],,1),0),MATCH(TrainingAndTravelVariances[[#Headers],[ספט]],TrainingAndTravelActual[#Headers],0))</f>
        <v>2000</v>
      </c>
      <c r="L31" s="103">
        <f>INDEX(TrainingAndTravelPlan[],MATCH(INDEX(TrainingAndTravelVariances[],ROW()-ROW(TrainingAndTravelVariances[[#Headers],[אוק]]),1),INDEX(TrainingAndTravelPlan[],,1),0),MATCH(TrainingAndTravelVariances[[#Headers],[אוק]],TrainingAndTravelPlan[#Headers],0))-INDEX(TrainingAndTravelActual[],MATCH(INDEX(TrainingAndTravelVariances[],ROW()-ROW(TrainingAndTravelVariances[[#Headers],[אוק]]),1),INDEX(TrainingAndTravelPlan[],,1),0),MATCH(TrainingAndTravelVariances[[#Headers],[אוק]],TrainingAndTravelActual[#Headers],0))</f>
        <v>2000</v>
      </c>
      <c r="M31" s="103">
        <f>INDEX(TrainingAndTravelPlan[],MATCH(INDEX(TrainingAndTravelVariances[],ROW()-ROW(TrainingAndTravelVariances[[#Headers],[נוב]]),1),INDEX(TrainingAndTravelPlan[],,1),0),MATCH(TrainingAndTravelVariances[[#Headers],[נוב]],TrainingAndTravelPlan[#Headers],0))-INDEX(TrainingAndTravelActual[],MATCH(INDEX(TrainingAndTravelVariances[],ROW()-ROW(TrainingAndTravelVariances[[#Headers],[נוב]]),1),INDEX(TrainingAndTravelPlan[],,1),0),MATCH(TrainingAndTravelVariances[[#Headers],[נוב]],TrainingAndTravelActual[#Headers],0))</f>
        <v>2000</v>
      </c>
      <c r="N31" s="103">
        <f>INDEX(TrainingAndTravelPlan[],MATCH(INDEX(TrainingAndTravelVariances[],ROW()-ROW(TrainingAndTravelVariances[[#Headers],[דצמ]]),1),INDEX(TrainingAndTravelPlan[],,1),0),MATCH(TrainingAndTravelVariances[[#Headers],[דצמ]],TrainingAndTravelPlan[#Headers],0))-INDEX(TrainingAndTravelActual[],MATCH(INDEX(TrainingAndTravelVariances[],ROW()-ROW(TrainingAndTravelVariances[[#Headers],[דצמ]]),1),INDEX(TrainingAndTravelPlan[],,1),0),MATCH(TrainingAndTravelVariances[[#Headers],[דצמ]],TrainingAndTravelActual[#Headers],0))</f>
        <v>2000</v>
      </c>
      <c r="O31" s="104">
        <f>SUM(TrainingAndTravelVariances[[#This Row],[ינו]:[דצמ]])</f>
        <v>13000</v>
      </c>
      <c r="P31" s="22"/>
    </row>
    <row r="32" spans="1:16" ht="24.95" customHeight="1" thickBot="1" x14ac:dyDescent="0.3">
      <c r="A32" s="17"/>
      <c r="B32" s="42" t="s">
        <v>32</v>
      </c>
      <c r="C32" s="103">
        <f>INDEX(TrainingAndTravelPlan[],MATCH(INDEX(TrainingAndTravelVariances[],ROW()-ROW(TrainingAndTravelVariances[[#Headers],[ינו]]),1),INDEX(TrainingAndTravelPlan[],,1),0),MATCH(TrainingAndTravelVariances[[#Headers],[ינו]],TrainingAndTravelPlan[#Headers],0))-INDEX(TrainingAndTravelActual[],MATCH(INDEX(TrainingAndTravelVariances[],ROW()-ROW(TrainingAndTravelVariances[[#Headers],[ינו]]),1),INDEX(TrainingAndTravelPlan[],,1),0),MATCH(TrainingAndTravelVariances[[#Headers],[ינו]],TrainingAndTravelActual[#Headers],0))</f>
        <v>800</v>
      </c>
      <c r="D32" s="103">
        <f>INDEX(TrainingAndTravelPlan[],MATCH(INDEX(TrainingAndTravelVariances[],ROW()-ROW(TrainingAndTravelVariances[[#Headers],[פבר]]),1),INDEX(TrainingAndTravelPlan[],,1),0),MATCH(TrainingAndTravelVariances[[#Headers],[פבר]],TrainingAndTravelPlan[#Headers],0))-INDEX(TrainingAndTravelActual[],MATCH(INDEX(TrainingAndTravelVariances[],ROW()-ROW(TrainingAndTravelVariances[[#Headers],[פבר]]),1),INDEX(TrainingAndTravelPlan[],,1),0),MATCH(TrainingAndTravelVariances[[#Headers],[פבר]],TrainingAndTravelActual[#Headers],0))</f>
        <v>-200</v>
      </c>
      <c r="E32" s="103">
        <f>INDEX(TrainingAndTravelPlan[],MATCH(INDEX(TrainingAndTravelVariances[],ROW()-ROW(TrainingAndTravelVariances[[#Headers],[מרץ]]),1),INDEX(TrainingAndTravelPlan[],,1),0),MATCH(TrainingAndTravelVariances[[#Headers],[מרץ]],TrainingAndTravelPlan[#Headers],0))-INDEX(TrainingAndTravelActual[],MATCH(INDEX(TrainingAndTravelVariances[],ROW()-ROW(TrainingAndTravelVariances[[#Headers],[מרץ]]),1),INDEX(TrainingAndTravelPlan[],,1),0),MATCH(TrainingAndTravelVariances[[#Headers],[מרץ]],TrainingAndTravelActual[#Headers],0))</f>
        <v>600</v>
      </c>
      <c r="F32" s="103">
        <f>INDEX(TrainingAndTravelPlan[],MATCH(INDEX(TrainingAndTravelVariances[],ROW()-ROW(TrainingAndTravelVariances[[#Headers],[אפר]]),1),INDEX(TrainingAndTravelPlan[],,1),0),MATCH(TrainingAndTravelVariances[[#Headers],[אפר]],TrainingAndTravelPlan[#Headers],0))-INDEX(TrainingAndTravelActual[],MATCH(INDEX(TrainingAndTravelVariances[],ROW()-ROW(TrainingAndTravelVariances[[#Headers],[אפר]]),1),INDEX(TrainingAndTravelPlan[],,1),0),MATCH(TrainingAndTravelVariances[[#Headers],[אפר]],TrainingAndTravelActual[#Headers],0))</f>
        <v>800</v>
      </c>
      <c r="G32" s="103">
        <f>INDEX(TrainingAndTravelPlan[],MATCH(INDEX(TrainingAndTravelVariances[],ROW()-ROW(TrainingAndTravelVariances[[#Headers],[מאי]]),1),INDEX(TrainingAndTravelPlan[],,1),0),MATCH(TrainingAndTravelVariances[[#Headers],[מאי]],TrainingAndTravelPlan[#Headers],0))-INDEX(TrainingAndTravelActual[],MATCH(INDEX(TrainingAndTravelVariances[],ROW()-ROW(TrainingAndTravelVariances[[#Headers],[מאי]]),1),INDEX(TrainingAndTravelPlan[],,1),0),MATCH(TrainingAndTravelVariances[[#Headers],[מאי]],TrainingAndTravelActual[#Headers],0))</f>
        <v>1200</v>
      </c>
      <c r="H32" s="103">
        <f>INDEX(TrainingAndTravelPlan[],MATCH(INDEX(TrainingAndTravelVariances[],ROW()-ROW(TrainingAndTravelVariances[[#Headers],[יונ]]),1),INDEX(TrainingAndTravelPlan[],,1),0),MATCH(TrainingAndTravelVariances[[#Headers],[יונ]],TrainingAndTravelPlan[#Headers],0))-INDEX(TrainingAndTravelActual[],MATCH(INDEX(TrainingAndTravelVariances[],ROW()-ROW(TrainingAndTravelVariances[[#Headers],[יונ]]),1),INDEX(TrainingAndTravelPlan[],,1),0),MATCH(TrainingAndTravelVariances[[#Headers],[יונ]],TrainingAndTravelActual[#Headers],0))</f>
        <v>-1500</v>
      </c>
      <c r="I32" s="103">
        <f>INDEX(TrainingAndTravelPlan[],MATCH(INDEX(TrainingAndTravelVariances[],ROW()-ROW(TrainingAndTravelVariances[[#Headers],[יול]]),1),INDEX(TrainingAndTravelPlan[],,1),0),MATCH(TrainingAndTravelVariances[[#Headers],[יול]],TrainingAndTravelPlan[#Headers],0))-INDEX(TrainingAndTravelActual[],MATCH(INDEX(TrainingAndTravelVariances[],ROW()-ROW(TrainingAndTravelVariances[[#Headers],[יול]]),1),INDEX(TrainingAndTravelPlan[],,1),0),MATCH(TrainingAndTravelVariances[[#Headers],[יול]],TrainingAndTravelActual[#Headers],0))</f>
        <v>2000</v>
      </c>
      <c r="J32" s="103">
        <f>INDEX(TrainingAndTravelPlan[],MATCH(INDEX(TrainingAndTravelVariances[],ROW()-ROW(TrainingAndTravelVariances[[#Headers],[אוג]]),1),INDEX(TrainingAndTravelPlan[],,1),0),MATCH(TrainingAndTravelVariances[[#Headers],[אוג]],TrainingAndTravelPlan[#Headers],0))-INDEX(TrainingAndTravelActual[],MATCH(INDEX(TrainingAndTravelVariances[],ROW()-ROW(TrainingAndTravelVariances[[#Headers],[אוג]]),1),INDEX(TrainingAndTravelPlan[],,1),0),MATCH(TrainingAndTravelVariances[[#Headers],[אוג]],TrainingAndTravelActual[#Headers],0))</f>
        <v>2000</v>
      </c>
      <c r="K32" s="103">
        <f>INDEX(TrainingAndTravelPlan[],MATCH(INDEX(TrainingAndTravelVariances[],ROW()-ROW(TrainingAndTravelVariances[[#Headers],[ספט]]),1),INDEX(TrainingAndTravelPlan[],,1),0),MATCH(TrainingAndTravelVariances[[#Headers],[ספט]],TrainingAndTravelPlan[#Headers],0))-INDEX(TrainingAndTravelActual[],MATCH(INDEX(TrainingAndTravelVariances[],ROW()-ROW(TrainingAndTravelVariances[[#Headers],[ספט]]),1),INDEX(TrainingAndTravelPlan[],,1),0),MATCH(TrainingAndTravelVariances[[#Headers],[ספט]],TrainingAndTravelActual[#Headers],0))</f>
        <v>2000</v>
      </c>
      <c r="L32" s="103">
        <f>INDEX(TrainingAndTravelPlan[],MATCH(INDEX(TrainingAndTravelVariances[],ROW()-ROW(TrainingAndTravelVariances[[#Headers],[אוק]]),1),INDEX(TrainingAndTravelPlan[],,1),0),MATCH(TrainingAndTravelVariances[[#Headers],[אוק]],TrainingAndTravelPlan[#Headers],0))-INDEX(TrainingAndTravelActual[],MATCH(INDEX(TrainingAndTravelVariances[],ROW()-ROW(TrainingAndTravelVariances[[#Headers],[אוק]]),1),INDEX(TrainingAndTravelPlan[],,1),0),MATCH(TrainingAndTravelVariances[[#Headers],[אוק]],TrainingAndTravelActual[#Headers],0))</f>
        <v>2000</v>
      </c>
      <c r="M32" s="103">
        <f>INDEX(TrainingAndTravelPlan[],MATCH(INDEX(TrainingAndTravelVariances[],ROW()-ROW(TrainingAndTravelVariances[[#Headers],[נוב]]),1),INDEX(TrainingAndTravelPlan[],,1),0),MATCH(TrainingAndTravelVariances[[#Headers],[נוב]],TrainingAndTravelPlan[#Headers],0))-INDEX(TrainingAndTravelActual[],MATCH(INDEX(TrainingAndTravelVariances[],ROW()-ROW(TrainingAndTravelVariances[[#Headers],[נוב]]),1),INDEX(TrainingAndTravelPlan[],,1),0),MATCH(TrainingAndTravelVariances[[#Headers],[נוב]],TrainingAndTravelActual[#Headers],0))</f>
        <v>2000</v>
      </c>
      <c r="N32" s="103">
        <f>INDEX(TrainingAndTravelPlan[],MATCH(INDEX(TrainingAndTravelVariances[],ROW()-ROW(TrainingAndTravelVariances[[#Headers],[דצמ]]),1),INDEX(TrainingAndTravelPlan[],,1),0),MATCH(TrainingAndTravelVariances[[#Headers],[דצמ]],TrainingAndTravelPlan[#Headers],0))-INDEX(TrainingAndTravelActual[],MATCH(INDEX(TrainingAndTravelVariances[],ROW()-ROW(TrainingAndTravelVariances[[#Headers],[דצמ]]),1),INDEX(TrainingAndTravelPlan[],,1),0),MATCH(TrainingAndTravelVariances[[#Headers],[דצמ]],TrainingAndTravelActual[#Headers],0))</f>
        <v>2000</v>
      </c>
      <c r="O32" s="104">
        <f>SUM(TrainingAndTravelVariances[[#This Row],[ינו]:[דצמ]])</f>
        <v>13700</v>
      </c>
      <c r="P32" s="22"/>
    </row>
    <row r="33" spans="1:16" ht="24.95" customHeight="1" x14ac:dyDescent="0.25">
      <c r="A33" s="17"/>
      <c r="B33" s="53" t="s">
        <v>13</v>
      </c>
      <c r="C33" s="105">
        <f>SUBTOTAL(109,TrainingAndTravelVariances[ינו])</f>
        <v>1200</v>
      </c>
      <c r="D33" s="105">
        <f>SUBTOTAL(109,TrainingAndTravelVariances[פבר])</f>
        <v>-600</v>
      </c>
      <c r="E33" s="105">
        <f>SUBTOTAL(109,TrainingAndTravelVariances[מרץ])</f>
        <v>1200</v>
      </c>
      <c r="F33" s="105">
        <f>SUBTOTAL(109,TrainingAndTravelVariances[אפר])</f>
        <v>1200</v>
      </c>
      <c r="G33" s="105">
        <f>SUBTOTAL(109,TrainingAndTravelVariances[מאי])</f>
        <v>2000</v>
      </c>
      <c r="H33" s="105">
        <f>SUBTOTAL(109,TrainingAndTravelVariances[יונ])</f>
        <v>-2300</v>
      </c>
      <c r="I33" s="105">
        <f>SUBTOTAL(109,TrainingAndTravelVariances[יול])</f>
        <v>4000</v>
      </c>
      <c r="J33" s="105">
        <f>SUBTOTAL(109,TrainingAndTravelVariances[אוג])</f>
        <v>4000</v>
      </c>
      <c r="K33" s="105">
        <f>SUBTOTAL(109,TrainingAndTravelVariances[ספט])</f>
        <v>4000</v>
      </c>
      <c r="L33" s="105">
        <f>SUBTOTAL(109,TrainingAndTravelVariances[אוק])</f>
        <v>4000</v>
      </c>
      <c r="M33" s="105">
        <f>SUBTOTAL(109,TrainingAndTravelVariances[נוב])</f>
        <v>4000</v>
      </c>
      <c r="N33" s="105">
        <f>SUBTOTAL(109,TrainingAndTravelVariances[דצמ])</f>
        <v>4000</v>
      </c>
      <c r="O33" s="106">
        <f>SUBTOTAL(109,TrainingAndTravelVariances[שנה])</f>
        <v>26700</v>
      </c>
      <c r="P33" s="22"/>
    </row>
    <row r="34" spans="1:16" ht="21" customHeight="1" x14ac:dyDescent="0.25">
      <c r="A34" s="17"/>
      <c r="B34" s="25"/>
      <c r="C34" s="25"/>
      <c r="D34" s="75"/>
      <c r="E34" s="75"/>
      <c r="F34" s="75"/>
      <c r="G34" s="75"/>
      <c r="H34" s="75"/>
      <c r="I34" s="75"/>
      <c r="J34" s="75"/>
      <c r="K34" s="75"/>
      <c r="L34" s="75"/>
      <c r="M34" s="75"/>
      <c r="N34" s="75"/>
      <c r="O34" s="75"/>
      <c r="P34" s="22"/>
    </row>
    <row r="35" spans="1:16" ht="24.95" customHeight="1" thickBot="1" x14ac:dyDescent="0.3">
      <c r="A35" s="54"/>
      <c r="B35" s="55" t="s">
        <v>33</v>
      </c>
      <c r="C35" s="44" t="s">
        <v>36</v>
      </c>
      <c r="D35" s="44" t="s">
        <v>37</v>
      </c>
      <c r="E35" s="44" t="s">
        <v>38</v>
      </c>
      <c r="F35" s="44" t="s">
        <v>39</v>
      </c>
      <c r="G35" s="44" t="s">
        <v>40</v>
      </c>
      <c r="H35" s="44" t="s">
        <v>41</v>
      </c>
      <c r="I35" s="44" t="s">
        <v>42</v>
      </c>
      <c r="J35" s="44" t="s">
        <v>43</v>
      </c>
      <c r="K35" s="44" t="s">
        <v>46</v>
      </c>
      <c r="L35" s="44" t="s">
        <v>47</v>
      </c>
      <c r="M35" s="44" t="s">
        <v>48</v>
      </c>
      <c r="N35" s="44" t="s">
        <v>49</v>
      </c>
      <c r="O35" s="44" t="s">
        <v>50</v>
      </c>
      <c r="P35" s="22"/>
    </row>
    <row r="36" spans="1:16" ht="24.95" customHeight="1" thickBot="1" x14ac:dyDescent="0.3">
      <c r="A36" s="17"/>
      <c r="B36" s="56" t="s">
        <v>53</v>
      </c>
      <c r="C36" s="100">
        <f>TrainingAndTravelVariances[[#Totals],[ינו]]+MarketingVariances[[#Totals],[ינו]]+OfficeVariances[[#Totals],[ינו]]+EmployeeVariances[[#Totals],[ינו]]</f>
        <v>1738</v>
      </c>
      <c r="D36" s="100">
        <f>TrainingAndTravelVariances[[#Totals],[פבר]]+MarketingVariances[[#Totals],[פבר]]+OfficeVariances[[#Totals],[פבר]]+EmployeeVariances[[#Totals],[פבר]]</f>
        <v>-984</v>
      </c>
      <c r="E36" s="100">
        <f>TrainingAndTravelVariances[[#Totals],[מרץ]]+MarketingVariances[[#Totals],[מרץ]]+OfficeVariances[[#Totals],[מרץ]]+EmployeeVariances[[#Totals],[מרץ]]</f>
        <v>1255</v>
      </c>
      <c r="F36" s="100">
        <f>TrainingAndTravelVariances[[#Totals],[אפר]]+MarketingVariances[[#Totals],[אפר]]+OfficeVariances[[#Totals],[אפר]]+EmployeeVariances[[#Totals],[אפר]]</f>
        <v>301</v>
      </c>
      <c r="G36" s="100">
        <f>TrainingAndTravelVariances[[#Totals],[מאי]]+MarketingVariances[[#Totals],[מאי]]+OfficeVariances[[#Totals],[מאי]]+EmployeeVariances[[#Totals],[מאי]]</f>
        <v>1440</v>
      </c>
      <c r="H36" s="100">
        <f>TrainingAndTravelVariances[[#Totals],[יונ]]+MarketingVariances[[#Totals],[יונ]]+OfficeVariances[[#Totals],[יונ]]+EmployeeVariances[[#Totals],[יונ]]</f>
        <v>-3744</v>
      </c>
      <c r="I36" s="100">
        <f>TrainingAndTravelVariances[[#Totals],[יול]]+MarketingVariances[[#Totals],[יול]]+OfficeVariances[[#Totals],[יול]]+EmployeeVariances[[#Totals],[יול]]</f>
        <v>134695</v>
      </c>
      <c r="J36" s="100">
        <f>TrainingAndTravelVariances[[#Totals],[אוג]]+MarketingVariances[[#Totals],[אוג]]+OfficeVariances[[#Totals],[אוג]]+EmployeeVariances[[#Totals],[אוג]]</f>
        <v>138918</v>
      </c>
      <c r="K36" s="100">
        <f>TrainingAndTravelVariances[[#Totals],[ספט]]+MarketingVariances[[#Totals],[ספט]]+OfficeVariances[[#Totals],[ספט]]+EmployeeVariances[[#Totals],[ספט]]</f>
        <v>135918</v>
      </c>
      <c r="L36" s="100">
        <f>TrainingAndTravelVariances[[#Totals],[אוק]]+MarketingVariances[[#Totals],[אוק]]+OfficeVariances[[#Totals],[אוק]]+EmployeeVariances[[#Totals],[אוק]]</f>
        <v>140918</v>
      </c>
      <c r="M36" s="100">
        <f>TrainingAndTravelVariances[[#Totals],[נוב]]+MarketingVariances[[#Totals],[נוב]]+OfficeVariances[[#Totals],[נוב]]+EmployeeVariances[[#Totals],[נוב]]</f>
        <v>136218</v>
      </c>
      <c r="N36" s="100">
        <f>TrainingAndTravelVariances[[#Totals],[דצמ]]+MarketingVariances[[#Totals],[דצמ]]+OfficeVariances[[#Totals],[דצמ]]+EmployeeVariances[[#Totals],[דצמ]]</f>
        <v>140018</v>
      </c>
      <c r="O36" s="100">
        <f>TrainingAndTravelVariances[[#Totals],[שנה]]+MarketingVariances[[#Totals],[שנה]]+OfficeVariances[[#Totals],[שנה]]+EmployeeVariances[[#Totals],[שנה]]</f>
        <v>826691</v>
      </c>
      <c r="P36" s="22"/>
    </row>
    <row r="37" spans="1:16" ht="24.95" customHeight="1" thickBot="1" x14ac:dyDescent="0.3">
      <c r="A37" s="17"/>
      <c r="B37" s="56" t="s">
        <v>54</v>
      </c>
      <c r="C37" s="101">
        <f>SUM($C$36:C36)</f>
        <v>1738</v>
      </c>
      <c r="D37" s="101">
        <f>SUM($C$36:D36)</f>
        <v>754</v>
      </c>
      <c r="E37" s="101">
        <f>SUM($C$36:E36)</f>
        <v>2009</v>
      </c>
      <c r="F37" s="101">
        <f>SUM($C$36:F36)</f>
        <v>2310</v>
      </c>
      <c r="G37" s="101">
        <f>SUM($C$36:G36)</f>
        <v>3750</v>
      </c>
      <c r="H37" s="101">
        <f>SUM($C$36:H36)</f>
        <v>6</v>
      </c>
      <c r="I37" s="101">
        <f>SUM($C$36:I36)</f>
        <v>134701</v>
      </c>
      <c r="J37" s="101">
        <f>SUM($C$36:J36)</f>
        <v>273619</v>
      </c>
      <c r="K37" s="101">
        <f>SUM($C$36:K36)</f>
        <v>409537</v>
      </c>
      <c r="L37" s="101">
        <f>SUM($C$36:L36)</f>
        <v>550455</v>
      </c>
      <c r="M37" s="101">
        <f>SUM($C$36:M36)</f>
        <v>686673</v>
      </c>
      <c r="N37" s="101">
        <f>SUM($C$36:N36)</f>
        <v>826691</v>
      </c>
      <c r="O37" s="101"/>
      <c r="P37" s="22"/>
    </row>
    <row r="38" spans="1:16" ht="21" customHeight="1" x14ac:dyDescent="0.25">
      <c r="A38" s="36"/>
      <c r="D38" s="48"/>
    </row>
  </sheetData>
  <mergeCells count="2">
    <mergeCell ref="K2:M2"/>
    <mergeCell ref="K3:M3"/>
  </mergeCells>
  <conditionalFormatting sqref="C6:O8">
    <cfRule type="cellIs" dxfId="4" priority="5" operator="lessThan">
      <formula>0</formula>
    </cfRule>
  </conditionalFormatting>
  <conditionalFormatting sqref="C11:O19">
    <cfRule type="cellIs" dxfId="3" priority="4" operator="lessThan">
      <formula>0</formula>
    </cfRule>
  </conditionalFormatting>
  <conditionalFormatting sqref="C22:O28">
    <cfRule type="cellIs" dxfId="2" priority="3" operator="lessThan">
      <formula>0</formula>
    </cfRule>
  </conditionalFormatting>
  <conditionalFormatting sqref="C31:O33">
    <cfRule type="cellIs" dxfId="1" priority="2" operator="lessThan">
      <formula>0</formula>
    </cfRule>
  </conditionalFormatting>
  <conditionalFormatting sqref="C36:O37">
    <cfRule type="cellIs" dxfId="0" priority="1" operator="lessThan">
      <formula>0</formula>
    </cfRule>
  </conditionalFormatting>
  <dataValidations count="10">
    <dataValidation allowBlank="1" showInputMessage="1" showErrorMessage="1" prompt="מציין המיקום של הסמל מופיע בתא זה." sqref="N2" xr:uid="{37781601-5DCB-461E-AE37-039617AC3765}"/>
    <dataValidation allowBlank="1" showInputMessage="1" showErrorMessage="1" prompt="התווית 'שונות הוצאות' מופיעה בתא משמאל, תוויות החודשים מופיעות בתאים C4 עד N4 ותווית השנה מופיעה בתא O4." sqref="A4" xr:uid="{30EF6476-989C-4E19-8BDE-66AFC1B5F398}"/>
    <dataValidation allowBlank="1" showInputMessage="1" showErrorMessage="1" prompt="השונות עבור עלויות העובדים מחושבת באופן אוטומטי בטבלה 'שונות עובדים' שמתחילה בתא משמאל. ההוראה הבאה נמצאת בתא A10." sqref="A5" xr:uid="{839F8F2D-41ED-4FCE-836B-A98A823A57CC}"/>
    <dataValidation allowBlank="1" showInputMessage="1" showErrorMessage="1" prompt="השונות עבור העלויות המשרדיות מחושבת באופן אוטומטי בטבלה שמתחילה 'שונות משרדית' בתא משמאל. ההוראה הבאה נמצאת בתא A21." sqref="A10" xr:uid="{27073073-4E55-44AA-82CF-0E84E7DE56D1}"/>
    <dataValidation allowBlank="1" showInputMessage="1" showErrorMessage="1" prompt="השונות עבור עלויות השיווק מחושבת באופן אוטומטי בטבלה שמתחילה 'שונות שיווק' בתא משמאל. ההוראה הבאה נמצאת בתא A30." sqref="A21" xr:uid="{DE322E29-78F0-4CAC-A794-538FBE82A952}"/>
    <dataValidation allowBlank="1" showInputMessage="1" showErrorMessage="1" prompt="השונות עבור עלויות ההדרכה/נסיעה מחושבת באופן אוטומטי בטבלה 'שונות נסיעות' שמתחילה בתא משמאל. ההוראה הבאה נמצאת בתא A35." sqref="A30" xr:uid="{E7DC2698-49F1-46FA-BC02-81CE67BF794B}"/>
    <dataValidation allowBlank="1" showInputMessage="1" showErrorMessage="1" prompt="שונות ההוצאות הכוללת מחושבת באופן אוטומטי בטבלה שמתחילה בתא משמאל." sqref="A35" xr:uid="{96167FAC-0878-4372-B9C2-FE529C7ABF6D}"/>
    <dataValidation allowBlank="1" showInputMessage="1" showErrorMessage="1" prompt="הזן עלויות עובדים מתוכננות, עלויות משרדיות, עלויות שיווק וכן עלות הדרכה או עלות נסיעה בטבלאות המתאימות בגיליון עבודה זה. הסכומים הכוללים מחושבים באופן אוטומטי. הוראות לשימוש בגיליון עבודה זה נמצאות בתאים בעמודה זו. לחץ על חץ למטה כדי להתחיל בעבודה." sqref="A1" xr:uid="{C935014E-97FD-4DC5-8990-FFCC7A693081}"/>
    <dataValidation allowBlank="1" showInputMessage="1" showErrorMessage="1" prompt="שם החברה מעודכן באופן אוטומטי בתא משמאל. כותרת של גיליון עבודה זה נמצאת בתא K2. הזן סמל בתא N2." sqref="A2" xr:uid="{ACC2090E-7A1F-4581-8E9B-5F88818E0C50}"/>
    <dataValidation allowBlank="1" showInputMessage="1" showErrorMessage="1" prompt="העצה מופיעה בתא K3." sqref="A3" xr:uid="{6033F748-E9D5-4DE6-B824-555D5C6CA4CF}"/>
  </dataValidations>
  <pageMargins left="0.7" right="0.7" top="0.75" bottom="0.75" header="0.3" footer="0.3"/>
  <pageSetup paperSize="9" fitToHeight="0" orientation="portrait" r:id="rId1"/>
  <ignoredErrors>
    <ignoredError sqref="B2" emptyCellReference="1"/>
    <ignoredError sqref="C36:O37" calculatedColumn="1"/>
  </ignoredErrors>
  <drawing r:id="rId2"/>
  <tableParts count="5">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8"/>
    <pageSetUpPr autoPageBreaks="0"/>
  </sheetPr>
  <dimension ref="A1:P39"/>
  <sheetViews>
    <sheetView showGridLines="0" rightToLeft="1" zoomScaleNormal="100" workbookViewId="0"/>
  </sheetViews>
  <sheetFormatPr defaultColWidth="9.140625" defaultRowHeight="18" x14ac:dyDescent="0.25"/>
  <cols>
    <col min="1" max="1" width="4.7109375" style="125" customWidth="1"/>
    <col min="2" max="2" width="26.28515625" style="47" customWidth="1"/>
    <col min="3" max="3" width="26" style="47" customWidth="1"/>
    <col min="4" max="4" width="24.28515625" style="47" customWidth="1"/>
    <col min="5" max="5" width="23" style="47" customWidth="1"/>
    <col min="6" max="6" width="24.5703125" style="47" customWidth="1"/>
    <col min="7" max="7" width="4.7109375" style="9" customWidth="1"/>
    <col min="8" max="8" width="9" customWidth="1"/>
    <col min="9" max="16384" width="9.140625" style="47"/>
  </cols>
  <sheetData>
    <row r="1" spans="1:16" s="9" customFormat="1" ht="24" customHeight="1" x14ac:dyDescent="0.25">
      <c r="A1" s="57"/>
      <c r="B1" s="6"/>
      <c r="C1" s="6"/>
      <c r="D1" s="6"/>
      <c r="E1" s="7"/>
      <c r="F1" s="7"/>
      <c r="G1" s="8" t="s">
        <v>51</v>
      </c>
      <c r="H1" s="22"/>
      <c r="I1" s="69"/>
      <c r="J1" s="69"/>
      <c r="K1" s="69"/>
      <c r="L1" s="69"/>
      <c r="M1" s="69"/>
      <c r="N1" s="69"/>
      <c r="O1" s="69"/>
      <c r="P1" s="69" t="s">
        <v>51</v>
      </c>
    </row>
    <row r="2" spans="1:16" s="9" customFormat="1" ht="45" customHeight="1" x14ac:dyDescent="0.25">
      <c r="A2" s="57"/>
      <c r="B2" s="11" t="str">
        <f>'הוצאות מתוכננות'!B2:D3</f>
        <v>שם החברה</v>
      </c>
      <c r="C2" s="11"/>
      <c r="D2" s="11"/>
      <c r="E2" s="110"/>
      <c r="F2" s="58"/>
      <c r="G2" s="58"/>
      <c r="H2" s="22"/>
      <c r="I2" s="69"/>
      <c r="J2" s="69"/>
      <c r="K2" s="69"/>
      <c r="L2" s="69"/>
      <c r="M2" s="69"/>
      <c r="N2" s="69"/>
      <c r="O2" s="69"/>
      <c r="P2" s="69"/>
    </row>
    <row r="3" spans="1:16" s="9" customFormat="1" ht="30" customHeight="1" x14ac:dyDescent="0.25">
      <c r="A3" s="57"/>
      <c r="B3" s="11"/>
      <c r="C3" s="11"/>
      <c r="D3" s="11"/>
      <c r="E3" s="131" t="str">
        <f>worksheet_title</f>
        <v>פירוט ההוצאות המשוערות</v>
      </c>
      <c r="F3" s="131"/>
      <c r="G3" s="131"/>
      <c r="H3" s="22"/>
      <c r="I3" s="69"/>
      <c r="J3" s="69"/>
      <c r="K3" s="69"/>
      <c r="L3" s="69"/>
      <c r="M3" s="69"/>
      <c r="N3" s="69"/>
      <c r="O3" s="69"/>
      <c r="P3" s="69"/>
    </row>
    <row r="4" spans="1:16" customFormat="1" ht="18.75" customHeight="1" x14ac:dyDescent="0.15">
      <c r="A4" s="59"/>
      <c r="B4" s="69"/>
      <c r="C4" s="69"/>
      <c r="D4" s="69"/>
      <c r="E4" s="69"/>
      <c r="F4" s="69"/>
      <c r="G4" s="69"/>
      <c r="H4" s="69"/>
      <c r="I4" s="69"/>
      <c r="J4" s="69"/>
      <c r="K4" s="69"/>
      <c r="L4" s="69"/>
      <c r="M4" s="69"/>
      <c r="N4" s="69"/>
      <c r="O4" s="69"/>
      <c r="P4" s="69"/>
    </row>
    <row r="5" spans="1:16" ht="24.95" customHeight="1" thickBot="1" x14ac:dyDescent="0.3">
      <c r="A5" s="60"/>
      <c r="B5" s="111" t="s">
        <v>56</v>
      </c>
      <c r="C5" s="112" t="s">
        <v>9</v>
      </c>
      <c r="D5" s="113" t="s">
        <v>52</v>
      </c>
      <c r="E5" s="111" t="s">
        <v>55</v>
      </c>
      <c r="F5" s="114" t="s">
        <v>57</v>
      </c>
      <c r="G5" s="19"/>
      <c r="H5" s="69"/>
      <c r="I5" s="69"/>
      <c r="J5" s="69"/>
      <c r="K5" s="69"/>
      <c r="L5" s="69"/>
      <c r="M5" s="69"/>
      <c r="N5" s="69"/>
      <c r="O5" s="69"/>
      <c r="P5" s="69"/>
    </row>
    <row r="6" spans="1:16" ht="24.95" customHeight="1" thickBot="1" x14ac:dyDescent="0.3">
      <c r="A6" s="61"/>
      <c r="B6" s="115" t="s">
        <v>10</v>
      </c>
      <c r="C6" s="116">
        <f>EmployeePlan[[#Totals],[שנה]]</f>
        <v>1355090</v>
      </c>
      <c r="D6" s="116">
        <f>EmployeeActual[[#Totals],[שנה]]</f>
        <v>659130</v>
      </c>
      <c r="E6" s="116">
        <f>C6-D6</f>
        <v>695960</v>
      </c>
      <c r="F6" s="117">
        <f>E6/C6</f>
        <v>0.5135895032802249</v>
      </c>
      <c r="G6" s="22"/>
      <c r="H6" s="69"/>
      <c r="I6" s="62"/>
      <c r="J6" s="62"/>
      <c r="K6" s="62"/>
      <c r="L6" s="62"/>
      <c r="M6" s="62"/>
      <c r="N6" s="62"/>
      <c r="O6" s="62"/>
      <c r="P6" s="62"/>
    </row>
    <row r="7" spans="1:16" ht="24.95" customHeight="1" thickBot="1" x14ac:dyDescent="0.3">
      <c r="A7" s="60"/>
      <c r="B7" s="115" t="str">
        <f>'הוצאות מתוכננות'!B10</f>
        <v>עלויות משרדיות</v>
      </c>
      <c r="C7" s="116">
        <f>OfficePlan[[#Totals],[שנה]]</f>
        <v>138740</v>
      </c>
      <c r="D7" s="116">
        <f>OfficeActual[[#Totals],[שנה]]</f>
        <v>69350</v>
      </c>
      <c r="E7" s="116">
        <f>C7-D7</f>
        <v>69390</v>
      </c>
      <c r="F7" s="117">
        <f>E7/C7</f>
        <v>0.50014415453366012</v>
      </c>
      <c r="G7" s="22"/>
      <c r="H7" s="69"/>
      <c r="I7" s="62"/>
      <c r="J7" s="62"/>
      <c r="K7" s="62"/>
      <c r="L7" s="62"/>
      <c r="M7" s="62"/>
      <c r="N7" s="62"/>
      <c r="O7" s="62"/>
      <c r="P7" s="62"/>
    </row>
    <row r="8" spans="1:16" ht="24.95" customHeight="1" thickBot="1" x14ac:dyDescent="0.3">
      <c r="A8" s="60"/>
      <c r="B8" s="118" t="str">
        <f>'הוצאות מתוכננות'!B21</f>
        <v>עלויות שיווק</v>
      </c>
      <c r="C8" s="116">
        <f>MarketingPlan[[#Totals],[שנה]]</f>
        <v>67800</v>
      </c>
      <c r="D8" s="116">
        <f>MarketingActual[[#Totals],[שנה]]</f>
        <v>33159</v>
      </c>
      <c r="E8" s="116">
        <f>C8-D8</f>
        <v>34641</v>
      </c>
      <c r="F8" s="117">
        <f>E8/C8</f>
        <v>0.51092920353982296</v>
      </c>
      <c r="G8" s="22"/>
      <c r="H8" s="69"/>
      <c r="I8" s="62"/>
      <c r="J8" s="62"/>
      <c r="K8" s="62"/>
      <c r="L8" s="62"/>
      <c r="M8" s="62"/>
      <c r="N8" s="62"/>
      <c r="O8" s="62"/>
      <c r="P8" s="62"/>
    </row>
    <row r="9" spans="1:16" ht="24.95" customHeight="1" thickBot="1" x14ac:dyDescent="0.3">
      <c r="A9" s="60"/>
      <c r="B9" s="118" t="str">
        <f>'הוצאות מתוכננות'!B30</f>
        <v>הדרכה/נסיעה</v>
      </c>
      <c r="C9" s="116">
        <f>TrainingAndTravelPlan[[#Totals],[שנה]]</f>
        <v>48000</v>
      </c>
      <c r="D9" s="116">
        <f>TrainingAndTravelActual[[#Totals],[שנה]]</f>
        <v>21300</v>
      </c>
      <c r="E9" s="116">
        <f>C9-D9</f>
        <v>26700</v>
      </c>
      <c r="F9" s="117">
        <f>E9/C9</f>
        <v>0.55625000000000002</v>
      </c>
      <c r="G9" s="22"/>
      <c r="H9" s="69"/>
      <c r="I9" s="62"/>
      <c r="J9" s="62"/>
      <c r="K9" s="62"/>
      <c r="L9" s="62"/>
      <c r="M9" s="62"/>
      <c r="N9" s="62"/>
      <c r="O9" s="62"/>
      <c r="P9" s="62"/>
    </row>
    <row r="10" spans="1:16" ht="24.95" customHeight="1" x14ac:dyDescent="0.25">
      <c r="A10" s="60"/>
      <c r="B10" s="119" t="str">
        <f>'הוצאות מתוכננות'!B35</f>
        <v>סכומים כוללים</v>
      </c>
      <c r="C10" s="120">
        <f>'הוצאות מתוכננות'!O36</f>
        <v>1609630</v>
      </c>
      <c r="D10" s="120">
        <f>'הוצאות בפועל'!O36</f>
        <v>782939</v>
      </c>
      <c r="E10" s="120">
        <f>C10-D10</f>
        <v>826691</v>
      </c>
      <c r="F10" s="121">
        <f>E10/C10</f>
        <v>0.51359070096854553</v>
      </c>
      <c r="G10" s="22"/>
      <c r="H10" s="69"/>
      <c r="I10" s="62"/>
      <c r="J10" s="62"/>
      <c r="K10" s="62"/>
      <c r="L10" s="62"/>
      <c r="M10" s="62"/>
      <c r="N10" s="62"/>
      <c r="O10" s="62"/>
      <c r="P10" s="62"/>
    </row>
    <row r="11" spans="1:16" x14ac:dyDescent="0.25">
      <c r="A11" s="63"/>
      <c r="B11" s="122"/>
      <c r="C11" s="123"/>
      <c r="D11" s="123"/>
      <c r="E11" s="123"/>
      <c r="F11" s="124"/>
    </row>
    <row r="12" spans="1:16" ht="300" customHeight="1" x14ac:dyDescent="0.25">
      <c r="A12" s="63"/>
      <c r="B12" s="132"/>
      <c r="C12" s="132"/>
      <c r="D12" s="132"/>
      <c r="E12" s="132"/>
      <c r="F12" s="132"/>
      <c r="G12"/>
    </row>
    <row r="13" spans="1:16" ht="18.75" customHeight="1" x14ac:dyDescent="0.25">
      <c r="A13" s="63"/>
      <c r="B13" s="64"/>
    </row>
    <row r="14" spans="1:16" x14ac:dyDescent="0.25">
      <c r="A14" s="63"/>
      <c r="B14" s="64"/>
      <c r="C14" s="65"/>
      <c r="D14" s="65"/>
      <c r="E14" s="65"/>
      <c r="F14" s="65"/>
    </row>
    <row r="15" spans="1:16" x14ac:dyDescent="0.25">
      <c r="A15" s="63"/>
      <c r="B15" s="64"/>
      <c r="C15" s="65"/>
      <c r="D15" s="65"/>
      <c r="E15" s="65"/>
      <c r="F15" s="65"/>
    </row>
    <row r="16" spans="1:16" x14ac:dyDescent="0.25">
      <c r="A16" s="63"/>
      <c r="B16" s="64"/>
      <c r="C16" s="65"/>
      <c r="D16" s="65"/>
      <c r="E16" s="65"/>
      <c r="F16" s="65"/>
    </row>
    <row r="17" spans="1:6" x14ac:dyDescent="0.25">
      <c r="A17" s="63"/>
      <c r="B17" s="64"/>
      <c r="C17" s="65"/>
      <c r="D17" s="65"/>
      <c r="E17" s="65"/>
      <c r="F17" s="65"/>
    </row>
    <row r="18" spans="1:6" x14ac:dyDescent="0.25">
      <c r="A18" s="63"/>
      <c r="B18" s="64"/>
      <c r="C18" s="65"/>
      <c r="D18" s="65"/>
      <c r="E18" s="65"/>
      <c r="F18" s="65"/>
    </row>
    <row r="19" spans="1:6" x14ac:dyDescent="0.25">
      <c r="A19" s="63"/>
      <c r="B19" s="65"/>
      <c r="C19" s="65"/>
      <c r="D19" s="65"/>
      <c r="E19" s="65"/>
      <c r="F19" s="65"/>
    </row>
    <row r="20" spans="1:6" x14ac:dyDescent="0.25">
      <c r="A20" s="63"/>
      <c r="B20" s="65"/>
      <c r="C20" s="65"/>
      <c r="D20" s="65"/>
      <c r="E20" s="65"/>
      <c r="F20" s="65"/>
    </row>
    <row r="21" spans="1:6" x14ac:dyDescent="0.25">
      <c r="A21" s="63"/>
      <c r="B21" s="65"/>
      <c r="C21" s="65"/>
      <c r="D21" s="65"/>
      <c r="E21" s="65"/>
      <c r="F21" s="65"/>
    </row>
    <row r="22" spans="1:6" x14ac:dyDescent="0.25">
      <c r="A22" s="63"/>
      <c r="B22" s="64"/>
      <c r="C22" s="65"/>
      <c r="D22" s="65"/>
      <c r="E22" s="65"/>
      <c r="F22" s="65"/>
    </row>
    <row r="23" spans="1:6" x14ac:dyDescent="0.25">
      <c r="A23" s="63"/>
      <c r="B23" s="64"/>
      <c r="C23" s="65"/>
      <c r="D23" s="65"/>
      <c r="E23" s="65"/>
      <c r="F23" s="65"/>
    </row>
    <row r="24" spans="1:6" x14ac:dyDescent="0.25">
      <c r="A24" s="63"/>
      <c r="B24" s="64"/>
      <c r="C24" s="65"/>
      <c r="D24" s="65"/>
      <c r="E24" s="65"/>
      <c r="F24" s="65"/>
    </row>
    <row r="25" spans="1:6" x14ac:dyDescent="0.25">
      <c r="A25" s="63"/>
      <c r="B25" s="64"/>
      <c r="C25" s="65"/>
      <c r="D25" s="65"/>
      <c r="E25" s="65"/>
      <c r="F25" s="65"/>
    </row>
    <row r="26" spans="1:6" x14ac:dyDescent="0.25">
      <c r="A26" s="63"/>
      <c r="B26" s="64"/>
      <c r="C26" s="65"/>
      <c r="D26" s="65"/>
      <c r="E26" s="65"/>
      <c r="F26" s="65"/>
    </row>
    <row r="27" spans="1:6" x14ac:dyDescent="0.25">
      <c r="A27" s="63"/>
      <c r="B27" s="64"/>
      <c r="C27" s="65"/>
      <c r="D27" s="65"/>
      <c r="E27" s="65"/>
      <c r="F27" s="65"/>
    </row>
    <row r="28" spans="1:6" x14ac:dyDescent="0.25">
      <c r="A28" s="63"/>
      <c r="B28" s="65"/>
      <c r="C28" s="65"/>
      <c r="D28" s="65"/>
      <c r="E28" s="65"/>
      <c r="F28" s="65"/>
    </row>
    <row r="29" spans="1:6" x14ac:dyDescent="0.25">
      <c r="A29" s="63"/>
      <c r="B29" s="65"/>
      <c r="C29" s="65"/>
      <c r="D29" s="65"/>
      <c r="E29" s="65"/>
      <c r="F29" s="65"/>
    </row>
    <row r="30" spans="1:6" x14ac:dyDescent="0.25">
      <c r="A30" s="63"/>
      <c r="B30" s="65"/>
      <c r="C30" s="65"/>
      <c r="D30" s="65"/>
      <c r="E30" s="65"/>
      <c r="F30" s="65"/>
    </row>
    <row r="31" spans="1:6" x14ac:dyDescent="0.25">
      <c r="A31" s="63"/>
      <c r="B31" s="64"/>
      <c r="C31" s="65"/>
      <c r="D31" s="65"/>
      <c r="E31" s="65"/>
      <c r="F31" s="65"/>
    </row>
    <row r="32" spans="1:6" x14ac:dyDescent="0.25">
      <c r="A32" s="63"/>
      <c r="B32" s="64"/>
      <c r="C32" s="65"/>
      <c r="D32" s="65"/>
      <c r="E32" s="65"/>
      <c r="F32" s="65"/>
    </row>
    <row r="33" spans="1:6" x14ac:dyDescent="0.25">
      <c r="A33" s="63"/>
      <c r="B33" s="65"/>
      <c r="C33" s="65"/>
      <c r="D33" s="65"/>
      <c r="E33" s="65"/>
      <c r="F33" s="65"/>
    </row>
    <row r="34" spans="1:6" x14ac:dyDescent="0.25">
      <c r="A34" s="63"/>
      <c r="B34" s="65"/>
      <c r="C34" s="65"/>
      <c r="D34" s="65"/>
      <c r="E34" s="65"/>
      <c r="F34" s="65"/>
    </row>
    <row r="35" spans="1:6" x14ac:dyDescent="0.25">
      <c r="A35" s="63"/>
      <c r="B35" s="65"/>
      <c r="C35" s="65"/>
      <c r="D35" s="65"/>
      <c r="E35" s="65"/>
      <c r="F35" s="65"/>
    </row>
    <row r="36" spans="1:6" x14ac:dyDescent="0.25">
      <c r="A36" s="63"/>
      <c r="B36" s="66"/>
      <c r="C36" s="65"/>
      <c r="D36" s="65"/>
      <c r="E36" s="65"/>
      <c r="F36" s="65"/>
    </row>
    <row r="37" spans="1:6" x14ac:dyDescent="0.25">
      <c r="A37" s="63"/>
      <c r="B37" s="66"/>
      <c r="C37" s="65"/>
      <c r="D37" s="65"/>
      <c r="E37" s="65"/>
      <c r="F37" s="65"/>
    </row>
    <row r="38" spans="1:6" x14ac:dyDescent="0.25">
      <c r="A38" s="63"/>
    </row>
    <row r="39" spans="1:6" x14ac:dyDescent="0.25">
      <c r="A39" s="63"/>
    </row>
  </sheetData>
  <mergeCells count="2">
    <mergeCell ref="E3:G3"/>
    <mergeCell ref="B12:F12"/>
  </mergeCells>
  <dataValidations count="8">
    <dataValidation allowBlank="1" showInputMessage="1" showErrorMessage="1" prompt="תרשים עוגה שמציג את ההוצאות המתוכננות במגוון קטגוריות מופיע בתא זה." sqref="B12:F12" xr:uid="{B2131E0D-FC0E-41E0-A823-1146E5092945}"/>
    <dataValidation allowBlank="1" showInputMessage="1" showErrorMessage="1" prompt="הוצאות שנתיות מתוכננות והוצאות שנתיות בפועל, שונות הוצאות ואחוזים של שונות מתעדכנים באופן אוטומטי עבור כל קטגוריית הוצאות בגיליון עבודה זה. הוראות שימושיות לשימוש בגיליון עבודה זה נמצאות בתאים בעמודה זו. לחץ על חץ למטה כדי להתחיל בעבודה." sqref="A1" xr:uid="{2B6B986C-CF09-4535-B287-5D9961D543F9}"/>
    <dataValidation allowBlank="1" showInputMessage="1" showErrorMessage="1" prompt="שם החברה מתעדכן באופן אוטומטי בתא משמאל. הזן סמל בתא F2." sqref="A2" xr:uid="{54F690A8-E3B2-49FE-B037-4CB57E2B08A1}"/>
    <dataValidation allowBlank="1" showInputMessage="1" showErrorMessage="1" prompt="הכותרת של גיליון עבודה זה מופיעה בתא E3. ההוראה הבאה מופיעה בתא A5." sqref="A3" xr:uid="{FED07153-5704-491F-BD0F-28D4A0F15619}"/>
    <dataValidation allowBlank="1" showInputMessage="1" showErrorMessage="1" prompt="ההוצאות המתוכננות, ההוצאות בפועל, שונות ההוצאות ואחוז השונות מחושבים באופן אוטומטי בטבלת הניתוח שמתחילה בתא משמאל. ההוראה הבאה נמצאת בתא A12." sqref="A5" xr:uid="{17A4F301-0551-4056-B357-1FCC3532C5BE}"/>
    <dataValidation allowBlank="1" showInputMessage="1" showErrorMessage="1" prompt="תרשים עוגה של ההוצאות המתוכננות מופיע בתא משמאל, ותרשים עוגה של ההוצאות בפועל מופיע בתא D12. ההוראה הבאה נמצאת בתא A14." sqref="A12" xr:uid="{FE13E92D-A1BA-4BB9-9C16-0CDEB5285C6E}"/>
    <dataValidation allowBlank="1" showInputMessage="1" showErrorMessage="1" prompt="תרשים שמציג ערכים עבור 'מתוכננות', 'בפועל' ו'שונות' עבור ההוצאות החודשיות מופיע בתא משמאל." sqref="A14" xr:uid="{A5F374DB-643C-44A4-B534-F79A39786B80}"/>
    <dataValidation allowBlank="1" showInputMessage="1" showErrorMessage="1" prompt="מציין המיקום של הסמל מופיע בתא זה." sqref="F2:G2" xr:uid="{831A4984-168B-4337-BAEA-80B7246F2962}"/>
  </dataValidations>
  <pageMargins left="0.7" right="0.7" top="0.75" bottom="0.75" header="0.3" footer="0.3"/>
  <pageSetup paperSize="9" orientation="portrait" r:id="rId1"/>
  <ignoredErrors>
    <ignoredError sqref="B2" emptyCellReference="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5DBCFF-B01D-443B-958D-5BBBD3E2E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3F0F1A-F818-48F9-BE67-B9DBEFF91A62}">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69CB1A22-CE44-4532-A0DB-84194B783B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TM04035489</Template>
  <Application>Microsoft Excel</Application>
  <DocSecurity>0</DocSecurity>
  <ScaleCrop>false</ScaleCrop>
  <HeadingPairs>
    <vt:vector size="4" baseType="variant">
      <vt:variant>
        <vt:lpstr>גליונות עבודה</vt:lpstr>
      </vt:variant>
      <vt:variant>
        <vt:i4>5</vt:i4>
      </vt:variant>
      <vt:variant>
        <vt:lpstr>טווחים בעלי שם</vt:lpstr>
      </vt:variant>
      <vt:variant>
        <vt:i4>1</vt:i4>
      </vt:variant>
    </vt:vector>
  </HeadingPairs>
  <TitlesOfParts>
    <vt:vector size="6" baseType="lpstr">
      <vt:lpstr>התחלה</vt:lpstr>
      <vt:lpstr>הוצאות מתוכננות</vt:lpstr>
      <vt:lpstr>הוצאות בפועל</vt:lpstr>
      <vt:lpstr>שונות הוצאות</vt:lpstr>
      <vt:lpstr>ניתוח הוצאות</vt:lpstr>
      <vt:lpstr>worksheet_title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2022-02-14T06:36:37Z</dcterms:created>
  <dcterms:modified xsi:type="dcterms:W3CDTF">2025-07-15T06:18:16Z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