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3.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4.xml" ContentType="application/vnd.openxmlformats-officedocument.drawing+xml"/>
  <Override PartName="/xl/tables/table1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codeName="ThisWorkbook"/>
  <xr:revisionPtr revIDLastSave="0" documentId="13_ncr:11_{702DC6BB-A99A-48F9-84D7-0CEC00EBD441}" xr6:coauthVersionLast="47" xr6:coauthVersionMax="47" xr10:uidLastSave="{00000000-0000-0000-0000-000000000000}"/>
  <bookViews>
    <workbookView xWindow="-120" yWindow="285" windowWidth="29040" windowHeight="15465" tabRatio="756" activeTab="1" xr2:uid="{00000000-000D-0000-FFFF-FFFF00000000}"/>
  </bookViews>
  <sheets>
    <sheet name="התחלה" sheetId="6" r:id="rId1"/>
    <sheet name="הוצאות מתוכננות" sheetId="2" r:id="rId2"/>
    <sheet name="הוצאות בפועל" sheetId="3" r:id="rId3"/>
    <sheet name="שונות הוצאות" sheetId="4" r:id="rId4"/>
    <sheet name="ניתוח הוצאות" sheetId="5" r:id="rId5"/>
  </sheets>
  <definedNames>
    <definedName name="worksheet_title">'הוצאות מתוכננות'!$K$2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3" l="1"/>
  <c r="K2" i="4"/>
  <c r="E3" i="5"/>
  <c r="B2" i="3" l="1"/>
  <c r="B2" i="5" l="1"/>
  <c r="B2" i="4"/>
  <c r="I7" i="3" l="1"/>
  <c r="J7" i="3"/>
  <c r="K7" i="3"/>
  <c r="L7" i="3"/>
  <c r="M7" i="3"/>
  <c r="N7" i="3"/>
  <c r="C32" i="4"/>
  <c r="D32" i="4"/>
  <c r="E32" i="4"/>
  <c r="F32" i="4"/>
  <c r="G32" i="4"/>
  <c r="H32" i="4"/>
  <c r="I32" i="4"/>
  <c r="J32" i="4"/>
  <c r="K32" i="4"/>
  <c r="L32" i="4"/>
  <c r="M32" i="4"/>
  <c r="N32" i="4"/>
  <c r="D31" i="4"/>
  <c r="E31" i="4"/>
  <c r="F31" i="4"/>
  <c r="G31" i="4"/>
  <c r="H31" i="4"/>
  <c r="I31" i="4"/>
  <c r="J31" i="4"/>
  <c r="K31" i="4"/>
  <c r="L31" i="4"/>
  <c r="M31" i="4"/>
  <c r="N31" i="4"/>
  <c r="C31" i="4"/>
  <c r="C23" i="4"/>
  <c r="D23" i="4"/>
  <c r="E23" i="4"/>
  <c r="F23" i="4"/>
  <c r="G23" i="4"/>
  <c r="H23" i="4"/>
  <c r="I23" i="4"/>
  <c r="J23" i="4"/>
  <c r="K23" i="4"/>
  <c r="L23" i="4"/>
  <c r="M23" i="4"/>
  <c r="N23" i="4"/>
  <c r="C24" i="4"/>
  <c r="D24" i="4"/>
  <c r="E24" i="4"/>
  <c r="F24" i="4"/>
  <c r="G24" i="4"/>
  <c r="H24" i="4"/>
  <c r="I24" i="4"/>
  <c r="J24" i="4"/>
  <c r="K24" i="4"/>
  <c r="L24" i="4"/>
  <c r="M24" i="4"/>
  <c r="N24" i="4"/>
  <c r="C25" i="4"/>
  <c r="D25" i="4"/>
  <c r="E25" i="4"/>
  <c r="F25" i="4"/>
  <c r="G25" i="4"/>
  <c r="H25" i="4"/>
  <c r="I25" i="4"/>
  <c r="J25" i="4"/>
  <c r="K25" i="4"/>
  <c r="L25" i="4"/>
  <c r="M25" i="4"/>
  <c r="N25" i="4"/>
  <c r="C26" i="4"/>
  <c r="D26" i="4"/>
  <c r="E26" i="4"/>
  <c r="F26" i="4"/>
  <c r="G26" i="4"/>
  <c r="H26" i="4"/>
  <c r="I26" i="4"/>
  <c r="J26" i="4"/>
  <c r="K26" i="4"/>
  <c r="L26" i="4"/>
  <c r="M26" i="4"/>
  <c r="N26" i="4"/>
  <c r="C27" i="4"/>
  <c r="D27" i="4"/>
  <c r="E27" i="4"/>
  <c r="F27" i="4"/>
  <c r="G27" i="4"/>
  <c r="H27" i="4"/>
  <c r="I27" i="4"/>
  <c r="J27" i="4"/>
  <c r="K27" i="4"/>
  <c r="L27" i="4"/>
  <c r="M27" i="4"/>
  <c r="N27" i="4"/>
  <c r="D22" i="4"/>
  <c r="E22" i="4"/>
  <c r="F22" i="4"/>
  <c r="G22" i="4"/>
  <c r="H22" i="4"/>
  <c r="I22" i="4"/>
  <c r="J22" i="4"/>
  <c r="K22" i="4"/>
  <c r="L22" i="4"/>
  <c r="M22" i="4"/>
  <c r="N22" i="4"/>
  <c r="C22" i="4"/>
  <c r="D6" i="4"/>
  <c r="E6" i="4"/>
  <c r="F6" i="4"/>
  <c r="G6" i="4"/>
  <c r="H6" i="4"/>
  <c r="I6" i="4"/>
  <c r="J6" i="4"/>
  <c r="K6" i="4"/>
  <c r="L6" i="4"/>
  <c r="M6" i="4"/>
  <c r="N6" i="4"/>
  <c r="C6" i="4"/>
  <c r="C12" i="4"/>
  <c r="D12" i="4"/>
  <c r="E12" i="4"/>
  <c r="F12" i="4"/>
  <c r="G12" i="4"/>
  <c r="H12" i="4"/>
  <c r="I12" i="4"/>
  <c r="J12" i="4"/>
  <c r="K12" i="4"/>
  <c r="L12" i="4"/>
  <c r="M12" i="4"/>
  <c r="N12" i="4"/>
  <c r="C13" i="4"/>
  <c r="D13" i="4"/>
  <c r="E13" i="4"/>
  <c r="F13" i="4"/>
  <c r="G13" i="4"/>
  <c r="H13" i="4"/>
  <c r="I13" i="4"/>
  <c r="J13" i="4"/>
  <c r="K13" i="4"/>
  <c r="L13" i="4"/>
  <c r="M13" i="4"/>
  <c r="N13" i="4"/>
  <c r="C14" i="4"/>
  <c r="D14" i="4"/>
  <c r="E14" i="4"/>
  <c r="F14" i="4"/>
  <c r="G14" i="4"/>
  <c r="H14" i="4"/>
  <c r="I14" i="4"/>
  <c r="J14" i="4"/>
  <c r="K14" i="4"/>
  <c r="L14" i="4"/>
  <c r="M14" i="4"/>
  <c r="N14" i="4"/>
  <c r="C15" i="4"/>
  <c r="D15" i="4"/>
  <c r="E15" i="4"/>
  <c r="F15" i="4"/>
  <c r="G15" i="4"/>
  <c r="H15" i="4"/>
  <c r="I15" i="4"/>
  <c r="J15" i="4"/>
  <c r="K15" i="4"/>
  <c r="L15" i="4"/>
  <c r="M15" i="4"/>
  <c r="N15" i="4"/>
  <c r="C16" i="4"/>
  <c r="D16" i="4"/>
  <c r="E16" i="4"/>
  <c r="F16" i="4"/>
  <c r="G16" i="4"/>
  <c r="H16" i="4"/>
  <c r="I16" i="4"/>
  <c r="J16" i="4"/>
  <c r="K16" i="4"/>
  <c r="L16" i="4"/>
  <c r="M16" i="4"/>
  <c r="N16" i="4"/>
  <c r="C17" i="4"/>
  <c r="D17" i="4"/>
  <c r="E17" i="4"/>
  <c r="F17" i="4"/>
  <c r="G17" i="4"/>
  <c r="H17" i="4"/>
  <c r="I17" i="4"/>
  <c r="J17" i="4"/>
  <c r="K17" i="4"/>
  <c r="L17" i="4"/>
  <c r="M17" i="4"/>
  <c r="N17" i="4"/>
  <c r="C18" i="4"/>
  <c r="D18" i="4"/>
  <c r="E18" i="4"/>
  <c r="F18" i="4"/>
  <c r="G18" i="4"/>
  <c r="H18" i="4"/>
  <c r="I18" i="4"/>
  <c r="J18" i="4"/>
  <c r="K18" i="4"/>
  <c r="L18" i="4"/>
  <c r="M18" i="4"/>
  <c r="N18" i="4"/>
  <c r="D11" i="4"/>
  <c r="E11" i="4"/>
  <c r="F11" i="4"/>
  <c r="G11" i="4"/>
  <c r="H11" i="4"/>
  <c r="I11" i="4"/>
  <c r="J11" i="4"/>
  <c r="K11" i="4"/>
  <c r="L11" i="4"/>
  <c r="M11" i="4"/>
  <c r="N11" i="4"/>
  <c r="C11" i="4"/>
  <c r="D19" i="3"/>
  <c r="E19" i="3"/>
  <c r="F19" i="3"/>
  <c r="G19" i="3"/>
  <c r="H19" i="3"/>
  <c r="I19" i="3"/>
  <c r="J19" i="3"/>
  <c r="K19" i="3"/>
  <c r="L19" i="3"/>
  <c r="M19" i="3"/>
  <c r="N19" i="3"/>
  <c r="D28" i="3"/>
  <c r="E28" i="3"/>
  <c r="F28" i="3"/>
  <c r="G28" i="3"/>
  <c r="H28" i="3"/>
  <c r="I28" i="3"/>
  <c r="J28" i="3"/>
  <c r="K28" i="3"/>
  <c r="L28" i="3"/>
  <c r="M28" i="3"/>
  <c r="N28" i="3"/>
  <c r="D33" i="3"/>
  <c r="E33" i="3"/>
  <c r="F33" i="3"/>
  <c r="G33" i="3"/>
  <c r="H33" i="3"/>
  <c r="I33" i="3"/>
  <c r="J33" i="3"/>
  <c r="K33" i="3"/>
  <c r="L33" i="3"/>
  <c r="M33" i="3"/>
  <c r="N33" i="3"/>
  <c r="C33" i="3"/>
  <c r="C28" i="3"/>
  <c r="C19" i="3"/>
  <c r="D33" i="2"/>
  <c r="E33" i="2"/>
  <c r="F33" i="2"/>
  <c r="G33" i="2"/>
  <c r="H33" i="2"/>
  <c r="I33" i="2"/>
  <c r="J33" i="2"/>
  <c r="K33" i="2"/>
  <c r="L33" i="2"/>
  <c r="M33" i="2"/>
  <c r="N33" i="2"/>
  <c r="C33" i="2"/>
  <c r="D28" i="2"/>
  <c r="E28" i="2"/>
  <c r="F28" i="2"/>
  <c r="G28" i="2"/>
  <c r="H28" i="2"/>
  <c r="I28" i="2"/>
  <c r="J28" i="2"/>
  <c r="K28" i="2"/>
  <c r="L28" i="2"/>
  <c r="M28" i="2"/>
  <c r="N28" i="2"/>
  <c r="C28" i="2"/>
  <c r="D19" i="2"/>
  <c r="E19" i="2"/>
  <c r="F19" i="2"/>
  <c r="G19" i="2"/>
  <c r="H19" i="2"/>
  <c r="I19" i="2"/>
  <c r="J19" i="2"/>
  <c r="K19" i="2"/>
  <c r="L19" i="2"/>
  <c r="M19" i="2"/>
  <c r="N19" i="2"/>
  <c r="C19" i="2"/>
  <c r="O22" i="4" l="1"/>
  <c r="O24" i="4"/>
  <c r="O6" i="4"/>
  <c r="O23" i="4"/>
  <c r="O32" i="4"/>
  <c r="O27" i="4"/>
  <c r="O26" i="4"/>
  <c r="O25" i="4"/>
  <c r="O31" i="4"/>
  <c r="O17" i="4"/>
  <c r="O16" i="4"/>
  <c r="O15" i="4"/>
  <c r="O14" i="4"/>
  <c r="O12" i="4"/>
  <c r="O18" i="4"/>
  <c r="O13" i="4"/>
  <c r="O11" i="4"/>
  <c r="B10" i="5"/>
  <c r="B9" i="5"/>
  <c r="B8" i="5"/>
  <c r="B7" i="5"/>
  <c r="N33" i="4"/>
  <c r="M33" i="4"/>
  <c r="L33" i="4"/>
  <c r="K33" i="4"/>
  <c r="J33" i="4"/>
  <c r="I33" i="4"/>
  <c r="H33" i="4"/>
  <c r="G33" i="4"/>
  <c r="F33" i="4"/>
  <c r="E33" i="4"/>
  <c r="D33" i="4"/>
  <c r="C33" i="4"/>
  <c r="N28" i="4"/>
  <c r="M28" i="4"/>
  <c r="L28" i="4"/>
  <c r="K28" i="4"/>
  <c r="J28" i="4"/>
  <c r="I28" i="4"/>
  <c r="H28" i="4"/>
  <c r="G28" i="4"/>
  <c r="F28" i="4"/>
  <c r="E28" i="4"/>
  <c r="D28" i="4"/>
  <c r="C28" i="4"/>
  <c r="N19" i="4"/>
  <c r="M19" i="4"/>
  <c r="L19" i="4"/>
  <c r="K19" i="4"/>
  <c r="J19" i="4"/>
  <c r="I19" i="4"/>
  <c r="H19" i="4"/>
  <c r="G19" i="4"/>
  <c r="F19" i="4"/>
  <c r="E19" i="4"/>
  <c r="D19" i="4"/>
  <c r="C19" i="4"/>
  <c r="O32" i="3"/>
  <c r="O31" i="3"/>
  <c r="O27" i="3"/>
  <c r="O26" i="3"/>
  <c r="O25" i="3"/>
  <c r="O24" i="3"/>
  <c r="O23" i="3"/>
  <c r="O22" i="3"/>
  <c r="O18" i="3"/>
  <c r="O17" i="3"/>
  <c r="O16" i="3"/>
  <c r="O15" i="3"/>
  <c r="O14" i="3"/>
  <c r="O13" i="3"/>
  <c r="O12" i="3"/>
  <c r="O11" i="3"/>
  <c r="N8" i="3"/>
  <c r="N36" i="3" s="1"/>
  <c r="M8" i="3"/>
  <c r="M36" i="3" s="1"/>
  <c r="L8" i="3"/>
  <c r="L36" i="3" s="1"/>
  <c r="K8" i="3"/>
  <c r="K36" i="3" s="1"/>
  <c r="J8" i="3"/>
  <c r="J36" i="3" s="1"/>
  <c r="I8" i="3"/>
  <c r="I36" i="3" s="1"/>
  <c r="H7" i="3"/>
  <c r="H8" i="3" s="1"/>
  <c r="H36" i="3" s="1"/>
  <c r="G7" i="3"/>
  <c r="G8" i="3" s="1"/>
  <c r="G36" i="3" s="1"/>
  <c r="F7" i="3"/>
  <c r="F8" i="3" s="1"/>
  <c r="F36" i="3" s="1"/>
  <c r="E7" i="3"/>
  <c r="E8" i="3" s="1"/>
  <c r="E36" i="3" s="1"/>
  <c r="D7" i="3"/>
  <c r="D8" i="3" s="1"/>
  <c r="D36" i="3" s="1"/>
  <c r="C7" i="3"/>
  <c r="C8" i="3" s="1"/>
  <c r="C36" i="3" s="1"/>
  <c r="O6" i="3"/>
  <c r="O32" i="2"/>
  <c r="O31" i="2"/>
  <c r="O33" i="2" s="1"/>
  <c r="O27" i="2"/>
  <c r="O26" i="2"/>
  <c r="O25" i="2"/>
  <c r="O24" i="2"/>
  <c r="O23" i="2"/>
  <c r="O22" i="2"/>
  <c r="O18" i="2"/>
  <c r="O17" i="2"/>
  <c r="O16" i="2"/>
  <c r="O15" i="2"/>
  <c r="O14" i="2"/>
  <c r="O13" i="2"/>
  <c r="O12" i="2"/>
  <c r="O11" i="2"/>
  <c r="N7" i="2"/>
  <c r="M7" i="2"/>
  <c r="L7" i="2"/>
  <c r="K7" i="2"/>
  <c r="J7" i="2"/>
  <c r="I7" i="2"/>
  <c r="H7" i="2"/>
  <c r="G7" i="2"/>
  <c r="F7" i="2"/>
  <c r="E7" i="2"/>
  <c r="D7" i="2"/>
  <c r="C7" i="2"/>
  <c r="O6" i="2"/>
  <c r="J8" i="2" l="1"/>
  <c r="J36" i="2" s="1"/>
  <c r="J7" i="4"/>
  <c r="J8" i="4" s="1"/>
  <c r="J36" i="4" s="1"/>
  <c r="L8" i="2"/>
  <c r="L36" i="2" s="1"/>
  <c r="L7" i="4"/>
  <c r="L8" i="4" s="1"/>
  <c r="L36" i="4" s="1"/>
  <c r="G8" i="2"/>
  <c r="G36" i="2" s="1"/>
  <c r="G7" i="4"/>
  <c r="G8" i="4" s="1"/>
  <c r="G36" i="4" s="1"/>
  <c r="H8" i="2"/>
  <c r="H36" i="2" s="1"/>
  <c r="H7" i="4"/>
  <c r="H8" i="4" s="1"/>
  <c r="H36" i="4" s="1"/>
  <c r="N8" i="2"/>
  <c r="N36" i="2" s="1"/>
  <c r="N7" i="4"/>
  <c r="N8" i="4" s="1"/>
  <c r="N36" i="4" s="1"/>
  <c r="D8" i="2"/>
  <c r="D36" i="2" s="1"/>
  <c r="D7" i="4"/>
  <c r="D8" i="4" s="1"/>
  <c r="D36" i="4" s="1"/>
  <c r="E7" i="4"/>
  <c r="E8" i="4" s="1"/>
  <c r="E36" i="4" s="1"/>
  <c r="E8" i="2"/>
  <c r="E36" i="2" s="1"/>
  <c r="K8" i="2"/>
  <c r="K36" i="2" s="1"/>
  <c r="K7" i="4"/>
  <c r="K8" i="4" s="1"/>
  <c r="K36" i="4" s="1"/>
  <c r="F7" i="4"/>
  <c r="F8" i="4" s="1"/>
  <c r="F36" i="4" s="1"/>
  <c r="F8" i="2"/>
  <c r="F36" i="2" s="1"/>
  <c r="M8" i="2"/>
  <c r="M36" i="2" s="1"/>
  <c r="M7" i="4"/>
  <c r="M8" i="4" s="1"/>
  <c r="M36" i="4" s="1"/>
  <c r="C7" i="4"/>
  <c r="C8" i="4" s="1"/>
  <c r="C36" i="4" s="1"/>
  <c r="C8" i="2"/>
  <c r="C36" i="2" s="1"/>
  <c r="I7" i="4"/>
  <c r="I8" i="4" s="1"/>
  <c r="I36" i="4" s="1"/>
  <c r="I8" i="2"/>
  <c r="I36" i="2" s="1"/>
  <c r="O33" i="3"/>
  <c r="O28" i="3"/>
  <c r="D8" i="5" s="1"/>
  <c r="O19" i="3"/>
  <c r="D7" i="5" s="1"/>
  <c r="C9" i="5"/>
  <c r="O28" i="2"/>
  <c r="C8" i="5" s="1"/>
  <c r="O19" i="2"/>
  <c r="C7" i="5" s="1"/>
  <c r="O7" i="3"/>
  <c r="O8" i="3" s="1"/>
  <c r="D6" i="5" s="1"/>
  <c r="O33" i="4"/>
  <c r="O7" i="2"/>
  <c r="O8" i="2" s="1"/>
  <c r="C6" i="5" s="1"/>
  <c r="E37" i="2" l="1"/>
  <c r="D37" i="2"/>
  <c r="J37" i="2"/>
  <c r="O7" i="4"/>
  <c r="O8" i="4" s="1"/>
  <c r="O36" i="2"/>
  <c r="I37" i="2"/>
  <c r="C37" i="2"/>
  <c r="F37" i="2"/>
  <c r="E8" i="5"/>
  <c r="F8" i="5" s="1"/>
  <c r="D37" i="4"/>
  <c r="J37" i="4"/>
  <c r="M37" i="4"/>
  <c r="H37" i="4"/>
  <c r="N37" i="4"/>
  <c r="C37" i="4"/>
  <c r="E37" i="4"/>
  <c r="K37" i="4"/>
  <c r="F37" i="4"/>
  <c r="L37" i="4"/>
  <c r="G37" i="4"/>
  <c r="I37" i="4"/>
  <c r="O19" i="4"/>
  <c r="O28" i="4"/>
  <c r="D9" i="5"/>
  <c r="E9" i="5" s="1"/>
  <c r="F9" i="5" s="1"/>
  <c r="O36" i="3"/>
  <c r="K37" i="2"/>
  <c r="G37" i="3"/>
  <c r="M37" i="3"/>
  <c r="J37" i="3"/>
  <c r="F37" i="3"/>
  <c r="H37" i="3"/>
  <c r="N37" i="3"/>
  <c r="I37" i="3"/>
  <c r="C37" i="3"/>
  <c r="D37" i="3"/>
  <c r="E37" i="3"/>
  <c r="K37" i="3"/>
  <c r="L37" i="3"/>
  <c r="E7" i="5"/>
  <c r="F7" i="5" s="1"/>
  <c r="N37" i="2"/>
  <c r="H37" i="2"/>
  <c r="M37" i="2"/>
  <c r="L37" i="2"/>
  <c r="G37" i="2"/>
  <c r="E6" i="5"/>
  <c r="F6" i="5" s="1"/>
  <c r="C10" i="5" l="1"/>
  <c r="D10" i="5"/>
  <c r="O36" i="4"/>
  <c r="E10" i="5" l="1"/>
  <c r="F10" i="5" s="1"/>
</calcChain>
</file>

<file path=xl/sharedStrings.xml><?xml version="1.0" encoding="utf-8"?>
<sst xmlns="http://schemas.openxmlformats.org/spreadsheetml/2006/main" count="348" uniqueCount="58">
  <si>
    <t>אודות תבנית זו</t>
  </si>
  <si>
    <t>השתמש בחוברת עבודה זו של תקציב הוצאות עסקיות זו כדי לעקוב אחר ההוצאות המתוכננות, ההוצאות בפועל והשונות.</t>
  </si>
  <si>
    <t>מלא את שם החברה והוסף את סמל החברה.</t>
  </si>
  <si>
    <t>הזן פרטים בטבלאות בגליון העבודה 'הוצאות מתוכננות' ובגליון העבודה 'הוצאות בפועל'.</t>
  </si>
  <si>
    <t>הטבלאות מתעדכנות באופן אוטומטי בגליון העבודה 'שונות הוצאות'. התרשימים מתעדכנים באופן אוטומטי בגליון העבודה 'ניתוח הוצאות'</t>
  </si>
  <si>
    <t>הערה: </t>
  </si>
  <si>
    <t>הוראות נוספות סופקו בעמודה A בכל גליון עבודה. טקסט זה הוסתר במכוון. כדי להסיר את הטקסט, בחר את עמודה A ולאחר מכן הקש DELETE. כדי לבטל את הסתרת הטקסט, בחר את עמודה A ולאחר מכן שנה את צבע הגופן.</t>
  </si>
  <si>
    <t>לקבלת מידע נוסף על הטבלאות, הקש SHIFT ולאחר מכן F10 בתוך טבלה, בחר את האפשרות 'טבלה' ולאחר מכן בחר 'טקסט חלופי'</t>
  </si>
  <si>
    <t>שם החברה</t>
  </si>
  <si>
    <t>הוצאות מתוכננות</t>
  </si>
  <si>
    <t>עלויות עובדים</t>
  </si>
  <si>
    <t>שכר</t>
  </si>
  <si>
    <t>הטבות</t>
  </si>
  <si>
    <t>סכום ביניים</t>
  </si>
  <si>
    <t>עלויות משרדיות</t>
  </si>
  <si>
    <t>שכ"ד למשרד</t>
  </si>
  <si>
    <t>גז</t>
  </si>
  <si>
    <t>חשמל</t>
  </si>
  <si>
    <t>מים</t>
  </si>
  <si>
    <t>טלפון</t>
  </si>
  <si>
    <t>גישה לאינטרנט</t>
  </si>
  <si>
    <t>ציוד משרדי</t>
  </si>
  <si>
    <t>אבטחה</t>
  </si>
  <si>
    <t>עלויות שיווק</t>
  </si>
  <si>
    <t>אירוח אתר אינטרנט</t>
  </si>
  <si>
    <t>עדכוני אתר אינטרנט</t>
  </si>
  <si>
    <t>הכנת חומרי שיווק</t>
  </si>
  <si>
    <t>הדפסת חומרי שיווק</t>
  </si>
  <si>
    <t>אירועים שיווקיים</t>
  </si>
  <si>
    <t>הוצאות שונות</t>
  </si>
  <si>
    <t>הדרכה/נסיעה</t>
  </si>
  <si>
    <t>קורסי הדרכה</t>
  </si>
  <si>
    <t>עלויות נסיעה הקשורות להדרכה</t>
  </si>
  <si>
    <t>סכומים כוללים</t>
  </si>
  <si>
    <t>הוצאות מתוכננות חודשיות</t>
  </si>
  <si>
    <t>הוצאות מתוכננות כוללות</t>
  </si>
  <si>
    <t>ינו</t>
  </si>
  <si>
    <t>פבר</t>
  </si>
  <si>
    <t>מרץ</t>
  </si>
  <si>
    <t>אפר</t>
  </si>
  <si>
    <t>מאי</t>
  </si>
  <si>
    <t>יונ</t>
  </si>
  <si>
    <t>יול</t>
  </si>
  <si>
    <t>אוג</t>
  </si>
  <si>
    <t>פירוט ההוצאות המשוערות</t>
  </si>
  <si>
    <t>התאים המוצללים כוללים חישובים.</t>
  </si>
  <si>
    <t>ספט</t>
  </si>
  <si>
    <t>אוק</t>
  </si>
  <si>
    <t>נוב</t>
  </si>
  <si>
    <t>דצמ</t>
  </si>
  <si>
    <t>שנה</t>
  </si>
  <si>
    <t xml:space="preserve"> </t>
  </si>
  <si>
    <t>הוצאות בפועל</t>
  </si>
  <si>
    <t>הוצאות חודשיות בפועל</t>
  </si>
  <si>
    <t>הוצאות כוללות בפועל</t>
  </si>
  <si>
    <t>שונות הוצאות</t>
  </si>
  <si>
    <t>קטגוריית הוצאות</t>
  </si>
  <si>
    <t>אחוז שונות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</si>
</sst>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8" formatCode="&quot;₪&quot;\ #,##0.00;[Red]&quot;₪&quot;\ \-#,##0.00"/>
    <numFmt numFmtId="42" formatCode="_ &quot;₪&quot;\ * #,##0_ ;_ &quot;₪&quot;\ * \-#,##0_ ;_ &quot;₪&quot;\ * &quot;-&quot;_ ;_ @_ "/>
    <numFmt numFmtId="44" formatCode="_ &quot;₪&quot;\ * #,##0.00_ ;_ &quot;₪&quot;\ * \-#,##0.00_ ;_ &quot;₪&quot;\ * &quot;-&quot;??_ ;_ @_ "/>
    <numFmt numFmtId="164" formatCode="_(* #,##0_);_(* \(#,##0\);_(* &quot;-&quot;_);_(@_)"/>
    <numFmt numFmtId="165" formatCode="_(* #,##0.00_);_(* \(#,##0.00\);_(* &quot;-&quot;??_);_(@_)"/>
    <numFmt numFmtId="166" formatCode="&quot;₪&quot;\ #,##0.00;[Red]&quot;₪&quot;\ #,##0.00"/>
  </numFmts>
  <fonts count="52" x14ac:knownFonts="1">
    <font>
      <sz val="9"/>
      <color theme="1" tint="0.24994659260841701"/>
      <name val="Tahoma"/>
      <family val="2"/>
    </font>
    <font>
      <sz val="11"/>
      <color theme="1"/>
      <name val="Tahoma"/>
      <family val="2"/>
    </font>
    <font>
      <sz val="11"/>
      <color theme="0"/>
      <name val="Tahoma"/>
      <family val="2"/>
    </font>
    <font>
      <sz val="11"/>
      <color rgb="FF9C0006"/>
      <name val="Tahoma"/>
      <family val="2"/>
    </font>
    <font>
      <b/>
      <sz val="11"/>
      <color rgb="FFFA7D00"/>
      <name val="Tahoma"/>
      <family val="2"/>
    </font>
    <font>
      <b/>
      <sz val="11"/>
      <color theme="0"/>
      <name val="Tahoma"/>
      <family val="2"/>
    </font>
    <font>
      <sz val="9"/>
      <color theme="1" tint="0.24994659260841701"/>
      <name val="Tahoma"/>
      <family val="2"/>
    </font>
    <font>
      <i/>
      <sz val="11"/>
      <color theme="3" tint="0.79998168889431442"/>
      <name val="Tahoma"/>
      <family val="2"/>
    </font>
    <font>
      <sz val="11"/>
      <color rgb="FF006100"/>
      <name val="Tahoma"/>
      <family val="2"/>
    </font>
    <font>
      <b/>
      <sz val="22"/>
      <color theme="1" tint="0.24994659260841701"/>
      <name val="Tahoma"/>
      <family val="2"/>
    </font>
    <font>
      <b/>
      <sz val="16"/>
      <color theme="0"/>
      <name val="Tahoma"/>
      <family val="2"/>
    </font>
    <font>
      <b/>
      <sz val="10"/>
      <color theme="2"/>
      <name val="Tahoma"/>
      <family val="2"/>
    </font>
    <font>
      <sz val="11"/>
      <color theme="1" tint="0.24994659260841701"/>
      <name val="Tahoma"/>
      <family val="2"/>
    </font>
    <font>
      <sz val="11"/>
      <color rgb="FF3F3F76"/>
      <name val="Tahoma"/>
      <family val="2"/>
    </font>
    <font>
      <sz val="11"/>
      <color rgb="FFFA7D00"/>
      <name val="Tahoma"/>
      <family val="2"/>
    </font>
    <font>
      <sz val="11"/>
      <color rgb="FF9C5700"/>
      <name val="Tahoma"/>
      <family val="2"/>
    </font>
    <font>
      <b/>
      <sz val="11"/>
      <color rgb="FF3F3F3F"/>
      <name val="Tahoma"/>
      <family val="2"/>
    </font>
    <font>
      <sz val="18"/>
      <color theme="3"/>
      <name val="Tahoma"/>
      <family val="2"/>
    </font>
    <font>
      <b/>
      <sz val="11"/>
      <color theme="1"/>
      <name val="Tahoma"/>
      <family val="2"/>
    </font>
    <font>
      <sz val="11"/>
      <color rgb="FFFF0000"/>
      <name val="Tahoma"/>
      <family val="2"/>
    </font>
    <font>
      <sz val="11"/>
      <color theme="1" tint="4.9989318521683403E-2"/>
      <name val="Tahoma"/>
      <family val="2"/>
    </font>
    <font>
      <b/>
      <sz val="11"/>
      <color theme="1" tint="4.9989318521683403E-2"/>
      <name val="Tahoma"/>
      <family val="2"/>
    </font>
    <font>
      <sz val="14"/>
      <color theme="3" tint="-0.249977111117893"/>
      <name val="Tahoma"/>
      <family val="2"/>
    </font>
    <font>
      <sz val="14"/>
      <color theme="1"/>
      <name val="Tahoma"/>
      <family val="2"/>
    </font>
    <font>
      <sz val="14"/>
      <color theme="0"/>
      <name val="Tahoma"/>
      <family val="2"/>
    </font>
    <font>
      <b/>
      <sz val="36"/>
      <color theme="0"/>
      <name val="Tahoma"/>
      <family val="2"/>
    </font>
    <font>
      <b/>
      <sz val="14"/>
      <color theme="1"/>
      <name val="Tahoma"/>
      <family val="2"/>
    </font>
    <font>
      <b/>
      <sz val="14"/>
      <color theme="3"/>
      <name val="Tahoma"/>
      <family val="2"/>
    </font>
    <font>
      <b/>
      <u/>
      <sz val="10"/>
      <color theme="1"/>
      <name val="Tahoma"/>
      <family val="2"/>
    </font>
    <font>
      <sz val="14"/>
      <color theme="6" tint="0.39997558519241921"/>
      <name val="Tahoma"/>
      <family val="2"/>
    </font>
    <font>
      <b/>
      <sz val="13"/>
      <color theme="3"/>
      <name val="Tahoma"/>
      <family val="2"/>
    </font>
    <font>
      <sz val="14"/>
      <color theme="3"/>
      <name val="Tahoma"/>
      <family val="2"/>
    </font>
    <font>
      <sz val="9"/>
      <color theme="6" tint="0.39997558519241921"/>
      <name val="Tahoma"/>
      <family val="2"/>
    </font>
    <font>
      <b/>
      <sz val="14"/>
      <color theme="0"/>
      <name val="Tahoma"/>
      <family val="2"/>
    </font>
    <font>
      <b/>
      <sz val="10"/>
      <color theme="0"/>
      <name val="Tahoma"/>
      <family val="2"/>
    </font>
    <font>
      <sz val="9"/>
      <color theme="1"/>
      <name val="Tahoma"/>
      <family val="2"/>
    </font>
    <font>
      <b/>
      <sz val="10"/>
      <color theme="1"/>
      <name val="Tahoma"/>
      <family val="2"/>
    </font>
    <font>
      <sz val="10"/>
      <color theme="1"/>
      <name val="Tahoma"/>
      <family val="2"/>
    </font>
    <font>
      <b/>
      <i/>
      <sz val="10"/>
      <color theme="1"/>
      <name val="Tahoma"/>
      <family val="2"/>
    </font>
    <font>
      <b/>
      <sz val="10"/>
      <color theme="3" tint="-0.499984740745262"/>
      <name val="Tahoma"/>
      <family val="2"/>
    </font>
    <font>
      <b/>
      <sz val="9"/>
      <color theme="1"/>
      <name val="Tahoma"/>
      <family val="2"/>
    </font>
    <font>
      <i/>
      <sz val="11"/>
      <color theme="0"/>
      <name val="Tahoma"/>
      <family val="2"/>
    </font>
    <font>
      <b/>
      <sz val="10"/>
      <name val="Tahoma"/>
      <family val="2"/>
    </font>
    <font>
      <sz val="9"/>
      <name val="Tahoma"/>
      <family val="2"/>
    </font>
    <font>
      <b/>
      <sz val="14"/>
      <color theme="2"/>
      <name val="Tahoma"/>
      <family val="2"/>
    </font>
    <font>
      <b/>
      <sz val="14"/>
      <color theme="3" tint="-0.499984740745262"/>
      <name val="Tahoma"/>
      <family val="2"/>
    </font>
    <font>
      <b/>
      <sz val="10"/>
      <color theme="1" tint="0.24994659260841701"/>
      <name val="Tahoma"/>
      <family val="2"/>
    </font>
    <font>
      <sz val="10"/>
      <color theme="1" tint="0.24994659260841701"/>
      <name val="Tahoma"/>
      <family val="2"/>
    </font>
    <font>
      <b/>
      <sz val="9"/>
      <name val="Tahoma"/>
      <family val="2"/>
    </font>
    <font>
      <b/>
      <sz val="16"/>
      <color theme="3"/>
      <name val="Tahoma"/>
      <family val="2"/>
    </font>
    <font>
      <sz val="11"/>
      <color theme="6" tint="0.39997558519241921"/>
      <name val="Tahoma"/>
      <family val="2"/>
    </font>
    <font>
      <sz val="10"/>
      <color theme="5" tint="0.79998168889431442"/>
      <name val="Tahoma"/>
      <family val="2"/>
    </font>
  </fonts>
  <fills count="45">
    <fill>
      <patternFill patternType="none"/>
    </fill>
    <fill>
      <patternFill patternType="gray125"/>
    </fill>
    <fill>
      <patternFill patternType="solid">
        <fgColor theme="5" tint="-0.499984740745262"/>
        <bgColor indexed="64"/>
      </patternFill>
    </fill>
    <fill>
      <patternFill patternType="solid">
        <fgColor theme="3" tint="0.89996032593768116"/>
        <bgColor indexed="64"/>
      </patternFill>
    </fill>
    <fill>
      <patternFill patternType="solid">
        <fgColor theme="3"/>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theme="6" tint="0.39997558519241921"/>
      </left>
      <right style="medium">
        <color theme="6" tint="0.39997558519241921"/>
      </right>
      <top style="medium">
        <color theme="6" tint="0.39997558519241921"/>
      </top>
      <bottom style="medium">
        <color theme="6" tint="0.39997558519241921"/>
      </bottom>
      <diagonal/>
    </border>
    <border>
      <left/>
      <right/>
      <top/>
      <bottom style="medium">
        <color theme="6" tint="0.39997558519241921"/>
      </bottom>
      <diagonal/>
    </border>
    <border>
      <left/>
      <right/>
      <top style="medium">
        <color theme="6" tint="0.39997558519241921"/>
      </top>
      <bottom/>
      <diagonal/>
    </border>
    <border>
      <left style="medium">
        <color theme="6" tint="0.39997558519241921"/>
      </left>
      <right style="medium">
        <color theme="6" tint="0.39997558519241921"/>
      </right>
      <top style="medium">
        <color theme="6" tint="0.39997558519241921"/>
      </top>
      <bottom/>
      <diagonal/>
    </border>
    <border>
      <left/>
      <right style="medium">
        <color theme="6" tint="0.39997558519241921"/>
      </right>
      <top/>
      <bottom/>
      <diagonal/>
    </border>
    <border>
      <left/>
      <right style="medium">
        <color theme="6" tint="0.39997558519241921"/>
      </right>
      <top style="medium">
        <color theme="6" tint="0.39997558519241921"/>
      </top>
      <bottom/>
      <diagonal/>
    </border>
    <border>
      <left style="medium">
        <color theme="6" tint="0.39997558519241921"/>
      </left>
      <right style="medium">
        <color theme="6" tint="0.39997558519241921"/>
      </right>
      <top/>
      <bottom/>
      <diagonal/>
    </border>
    <border>
      <left/>
      <right/>
      <top/>
      <bottom style="medium">
        <color theme="6" tint="0.39994506668294322"/>
      </bottom>
      <diagonal/>
    </border>
    <border>
      <left/>
      <right/>
      <top style="medium">
        <color theme="6" tint="0.39994506668294322"/>
      </top>
      <bottom style="medium">
        <color theme="6" tint="0.39994506668294322"/>
      </bottom>
      <diagonal/>
    </border>
    <border>
      <left/>
      <right/>
      <top style="medium">
        <color theme="6" tint="0.39994506668294322"/>
      </top>
      <bottom/>
      <diagonal/>
    </border>
    <border>
      <left/>
      <right style="medium">
        <color theme="6" tint="0.39991454817346722"/>
      </right>
      <top style="medium">
        <color theme="6" tint="0.39994506668294322"/>
      </top>
      <bottom/>
      <diagonal/>
    </border>
    <border>
      <left style="medium">
        <color theme="6" tint="0.39994506668294322"/>
      </left>
      <right style="medium">
        <color theme="6" tint="0.39994506668294322"/>
      </right>
      <top style="medium">
        <color theme="6" tint="0.39994506668294322"/>
      </top>
      <bottom style="medium">
        <color theme="6" tint="0.39994506668294322"/>
      </bottom>
      <diagonal/>
    </border>
    <border>
      <left/>
      <right style="medium">
        <color theme="6" tint="0.39994506668294322"/>
      </right>
      <top/>
      <bottom style="medium">
        <color theme="6" tint="0.39994506668294322"/>
      </bottom>
      <diagonal/>
    </border>
    <border>
      <left style="medium">
        <color theme="6" tint="0.39994506668294322"/>
      </left>
      <right style="medium">
        <color theme="6" tint="0.39994506668294322"/>
      </right>
      <top/>
      <bottom style="medium">
        <color theme="6" tint="0.39994506668294322"/>
      </bottom>
      <diagonal/>
    </border>
    <border>
      <left style="medium">
        <color theme="6" tint="0.39994506668294322"/>
      </left>
      <right/>
      <top/>
      <bottom style="medium">
        <color theme="6" tint="0.39994506668294322"/>
      </bottom>
      <diagonal/>
    </border>
    <border>
      <left/>
      <right style="medium">
        <color theme="6" tint="0.39994506668294322"/>
      </right>
      <top style="medium">
        <color theme="6" tint="0.39994506668294322"/>
      </top>
      <bottom style="medium">
        <color theme="6" tint="0.39994506668294322"/>
      </bottom>
      <diagonal/>
    </border>
    <border>
      <left style="medium">
        <color theme="6" tint="0.39994506668294322"/>
      </left>
      <right/>
      <top style="medium">
        <color theme="6" tint="0.39994506668294322"/>
      </top>
      <bottom style="medium">
        <color theme="6" tint="0.39994506668294322"/>
      </bottom>
      <diagonal/>
    </border>
    <border>
      <left/>
      <right style="medium">
        <color theme="6" tint="0.39994506668294322"/>
      </right>
      <top style="medium">
        <color theme="6" tint="0.39994506668294322"/>
      </top>
      <bottom/>
      <diagonal/>
    </border>
    <border>
      <left style="medium">
        <color theme="6" tint="0.39994506668294322"/>
      </left>
      <right style="medium">
        <color theme="6" tint="0.39994506668294322"/>
      </right>
      <top style="medium">
        <color theme="6" tint="0.39994506668294322"/>
      </top>
      <bottom/>
      <diagonal/>
    </border>
    <border>
      <left style="medium">
        <color theme="6" tint="0.39994506668294322"/>
      </left>
      <right/>
      <top style="medium">
        <color theme="6" tint="0.39994506668294322"/>
      </top>
      <bottom/>
      <diagonal/>
    </border>
    <border>
      <left/>
      <right style="medium">
        <color theme="6" tint="0.39994506668294322"/>
      </right>
      <top style="medium">
        <color theme="6" tint="0.39991454817346722"/>
      </top>
      <bottom style="medium">
        <color theme="6" tint="0.39994506668294322"/>
      </bottom>
      <diagonal/>
    </border>
    <border>
      <left style="medium">
        <color theme="6" tint="0.39994506668294322"/>
      </left>
      <right style="medium">
        <color theme="6" tint="0.39994506668294322"/>
      </right>
      <top style="medium">
        <color theme="6" tint="0.39991454817346722"/>
      </top>
      <bottom style="medium">
        <color theme="6" tint="0.39994506668294322"/>
      </bottom>
      <diagonal/>
    </border>
    <border>
      <left style="medium">
        <color theme="6" tint="0.39994506668294322"/>
      </left>
      <right/>
      <top style="medium">
        <color theme="6" tint="0.39991454817346722"/>
      </top>
      <bottom style="medium">
        <color theme="6" tint="0.39994506668294322"/>
      </bottom>
      <diagonal/>
    </border>
    <border>
      <left style="medium">
        <color theme="6" tint="0.39988402966399123"/>
      </left>
      <right/>
      <top style="medium">
        <color theme="6" tint="0.39991454817346722"/>
      </top>
      <bottom style="medium">
        <color theme="6" tint="0.39994506668294322"/>
      </bottom>
      <diagonal/>
    </border>
    <border>
      <left style="medium">
        <color theme="6" tint="0.39988402966399123"/>
      </left>
      <right/>
      <top style="medium">
        <color theme="6" tint="0.39994506668294322"/>
      </top>
      <bottom style="medium">
        <color theme="6" tint="0.39994506668294322"/>
      </bottom>
      <diagonal/>
    </border>
    <border>
      <left/>
      <right style="medium">
        <color theme="6" tint="0.39994506668294322"/>
      </right>
      <top style="medium">
        <color theme="6" tint="0.39994506668294322"/>
      </top>
      <bottom style="medium">
        <color theme="6" tint="0.39985351115451523"/>
      </bottom>
      <diagonal/>
    </border>
    <border>
      <left style="medium">
        <color theme="6" tint="0.39994506668294322"/>
      </left>
      <right style="medium">
        <color theme="6" tint="0.39994506668294322"/>
      </right>
      <top style="medium">
        <color theme="6" tint="0.39994506668294322"/>
      </top>
      <bottom style="medium">
        <color theme="6" tint="0.39985351115451523"/>
      </bottom>
      <diagonal/>
    </border>
    <border>
      <left style="medium">
        <color theme="6" tint="0.39994506668294322"/>
      </left>
      <right/>
      <top style="medium">
        <color theme="6" tint="0.39994506668294322"/>
      </top>
      <bottom style="medium">
        <color theme="6" tint="0.39985351115451523"/>
      </bottom>
      <diagonal/>
    </border>
    <border>
      <left style="medium">
        <color theme="6" tint="0.39988402966399123"/>
      </left>
      <right style="medium">
        <color theme="6" tint="0.39985351115451523"/>
      </right>
      <top style="medium">
        <color theme="6" tint="0.39994506668294322"/>
      </top>
      <bottom style="medium">
        <color theme="6" tint="0.39985351115451523"/>
      </bottom>
      <diagonal/>
    </border>
    <border>
      <left/>
      <right style="medium">
        <color theme="6" tint="0.39997558519241921"/>
      </right>
      <top style="medium">
        <color theme="6" tint="0.39997558519241921"/>
      </top>
      <bottom style="medium">
        <color theme="6" tint="0.39997558519241921"/>
      </bottom>
      <diagonal/>
    </border>
    <border>
      <left/>
      <right style="medium">
        <color theme="6" tint="0.39994506668294322"/>
      </right>
      <top/>
      <bottom style="medium">
        <color theme="6"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10" borderId="0"/>
    <xf numFmtId="0" fontId="9" fillId="0" borderId="0" applyNumberFormat="0" applyFill="0" applyProtection="0">
      <alignment vertical="center"/>
    </xf>
    <xf numFmtId="0" fontId="10" fillId="4" borderId="0" applyNumberFormat="0" applyProtection="0">
      <alignment vertical="center" readingOrder="2"/>
    </xf>
    <xf numFmtId="0" fontId="11" fillId="2" borderId="0" applyNumberFormat="0" applyProtection="0">
      <alignment vertical="center"/>
    </xf>
    <xf numFmtId="0" fontId="12" fillId="3" borderId="1" applyNumberFormat="0" applyProtection="0">
      <alignment horizontal="left" vertical="center" indent="1"/>
    </xf>
    <xf numFmtId="0" fontId="7" fillId="0" borderId="0" applyNumberFormat="0" applyFill="0" applyBorder="0" applyAlignment="0" applyProtection="0">
      <alignment readingOrder="2"/>
    </xf>
    <xf numFmtId="165"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17" fillId="0" borderId="0" applyNumberFormat="0" applyFill="0" applyBorder="0" applyAlignment="0" applyProtection="0"/>
    <xf numFmtId="0" fontId="8" fillId="14" borderId="0" applyNumberFormat="0" applyBorder="0" applyAlignment="0" applyProtection="0"/>
    <xf numFmtId="0" fontId="3" fillId="15" borderId="0" applyNumberFormat="0" applyBorder="0" applyAlignment="0" applyProtection="0"/>
    <xf numFmtId="0" fontId="15" fillId="16" borderId="0" applyNumberFormat="0" applyBorder="0" applyAlignment="0" applyProtection="0"/>
    <xf numFmtId="0" fontId="13" fillId="17" borderId="33" applyNumberFormat="0" applyAlignment="0" applyProtection="0"/>
    <xf numFmtId="0" fontId="16" fillId="18" borderId="34" applyNumberFormat="0" applyAlignment="0" applyProtection="0"/>
    <xf numFmtId="0" fontId="4" fillId="18" borderId="33" applyNumberFormat="0" applyAlignment="0" applyProtection="0"/>
    <xf numFmtId="0" fontId="14" fillId="0" borderId="35" applyNumberFormat="0" applyFill="0" applyAlignment="0" applyProtection="0"/>
    <xf numFmtId="0" fontId="5" fillId="19" borderId="36" applyNumberFormat="0" applyAlignment="0" applyProtection="0"/>
    <xf numFmtId="0" fontId="19" fillId="0" borderId="0" applyNumberFormat="0" applyFill="0" applyBorder="0" applyAlignment="0" applyProtection="0"/>
    <xf numFmtId="0" fontId="6" fillId="20" borderId="37" applyNumberFormat="0" applyFont="0" applyAlignment="0" applyProtection="0"/>
    <xf numFmtId="0" fontId="18" fillId="0" borderId="38" applyNumberFormat="0" applyFill="0" applyAlignment="0" applyProtection="0"/>
    <xf numFmtId="0" fontId="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2"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cellStyleXfs>
  <cellXfs count="133">
    <xf numFmtId="0" fontId="0" fillId="10" borderId="0" xfId="0"/>
    <xf numFmtId="0" fontId="10" fillId="8" borderId="0" xfId="2" applyFill="1" applyAlignment="1">
      <alignment horizontal="center" vertical="center" readingOrder="2"/>
    </xf>
    <xf numFmtId="0" fontId="20" fillId="10" borderId="0" xfId="0" applyFont="1" applyAlignment="1">
      <alignment horizontal="right" vertical="center" wrapText="1" readingOrder="2"/>
    </xf>
    <xf numFmtId="0" fontId="21" fillId="10" borderId="0" xfId="0" applyFont="1" applyAlignment="1">
      <alignment horizontal="right" vertical="center" wrapText="1" readingOrder="2"/>
    </xf>
    <xf numFmtId="0" fontId="20" fillId="10" borderId="0" xfId="0" applyFont="1" applyAlignment="1">
      <alignment horizontal="right" wrapText="1" readingOrder="2"/>
    </xf>
    <xf numFmtId="0" fontId="22" fillId="8" borderId="0" xfId="0" applyFont="1" applyFill="1" applyAlignment="1">
      <alignment horizontal="right" vertical="top" wrapText="1" indent="1" readingOrder="2"/>
    </xf>
    <xf numFmtId="0" fontId="23" fillId="8" borderId="0" xfId="0" applyFont="1" applyFill="1" applyAlignment="1">
      <alignment horizontal="right" vertical="top" indent="1" readingOrder="2"/>
    </xf>
    <xf numFmtId="0" fontId="23" fillId="4" borderId="0" xfId="0" applyFont="1" applyFill="1" applyAlignment="1">
      <alignment horizontal="right" vertical="top" indent="1" readingOrder="2"/>
    </xf>
    <xf numFmtId="0" fontId="24" fillId="4" borderId="0" xfId="0" applyFont="1" applyFill="1" applyAlignment="1">
      <alignment horizontal="right" vertical="top" indent="1" readingOrder="2"/>
    </xf>
    <xf numFmtId="0" fontId="23" fillId="10" borderId="0" xfId="0" applyFont="1"/>
    <xf numFmtId="0" fontId="22" fillId="8" borderId="0" xfId="0" applyFont="1" applyFill="1" applyAlignment="1">
      <alignment horizontal="right" vertical="top" indent="1" readingOrder="2"/>
    </xf>
    <xf numFmtId="0" fontId="25" fillId="8" borderId="0" xfId="1" applyFont="1" applyFill="1" applyAlignment="1">
      <alignment horizontal="right" vertical="top" indent="1" readingOrder="2"/>
    </xf>
    <xf numFmtId="42" fontId="26" fillId="8" borderId="0" xfId="0" applyNumberFormat="1" applyFont="1" applyFill="1" applyAlignment="1">
      <alignment horizontal="right" vertical="top" indent="1" readingOrder="2"/>
    </xf>
    <xf numFmtId="0" fontId="26" fillId="4" borderId="0" xfId="0" applyFont="1" applyFill="1" applyAlignment="1">
      <alignment horizontal="right" vertical="top" indent="1" readingOrder="2"/>
    </xf>
    <xf numFmtId="0" fontId="27" fillId="4" borderId="0" xfId="0" applyFont="1" applyFill="1" applyAlignment="1">
      <alignment horizontal="center" vertical="top" readingOrder="2"/>
    </xf>
    <xf numFmtId="42" fontId="28" fillId="8" borderId="0" xfId="0" applyNumberFormat="1" applyFont="1" applyFill="1" applyAlignment="1">
      <alignment horizontal="right" vertical="top" indent="1" readingOrder="2"/>
    </xf>
    <xf numFmtId="0" fontId="28" fillId="4" borderId="0" xfId="0" applyFont="1" applyFill="1" applyAlignment="1">
      <alignment horizontal="right" vertical="top" indent="1" readingOrder="2"/>
    </xf>
    <xf numFmtId="0" fontId="29" fillId="10" borderId="0" xfId="0" applyFont="1" applyAlignment="1">
      <alignment horizontal="right" readingOrder="2"/>
    </xf>
    <xf numFmtId="0" fontId="30" fillId="12" borderId="0" xfId="3" applyFont="1" applyFill="1" applyAlignment="1">
      <alignment horizontal="right" readingOrder="2"/>
    </xf>
    <xf numFmtId="0" fontId="31" fillId="10" borderId="0" xfId="0" applyFont="1" applyAlignment="1">
      <alignment horizontal="right" readingOrder="2"/>
    </xf>
    <xf numFmtId="0" fontId="31" fillId="10" borderId="0" xfId="0" applyFont="1"/>
    <xf numFmtId="0" fontId="33" fillId="6" borderId="9" xfId="4" applyFont="1" applyFill="1" applyBorder="1" applyAlignment="1">
      <alignment horizontal="right" vertical="center" indent="1" readingOrder="2"/>
    </xf>
    <xf numFmtId="0" fontId="23" fillId="10" borderId="0" xfId="0" applyFont="1" applyAlignment="1">
      <alignment horizontal="right" readingOrder="2"/>
    </xf>
    <xf numFmtId="0" fontId="34" fillId="4" borderId="10" xfId="0" applyFont="1" applyFill="1" applyBorder="1" applyAlignment="1">
      <alignment horizontal="right" vertical="center" indent="1" readingOrder="2"/>
    </xf>
    <xf numFmtId="0" fontId="36" fillId="11" borderId="12" xfId="0" applyFont="1" applyFill="1" applyBorder="1" applyAlignment="1">
      <alignment horizontal="right" vertical="center" indent="1" readingOrder="2"/>
    </xf>
    <xf numFmtId="0" fontId="36" fillId="10" borderId="0" xfId="0" applyFont="1" applyAlignment="1">
      <alignment horizontal="center" readingOrder="2"/>
    </xf>
    <xf numFmtId="0" fontId="33" fillId="5" borderId="25" xfId="4" applyFont="1" applyFill="1" applyBorder="1" applyAlignment="1">
      <alignment horizontal="right" vertical="center" indent="1" readingOrder="2"/>
    </xf>
    <xf numFmtId="0" fontId="34" fillId="4" borderId="26" xfId="0" applyFont="1" applyFill="1" applyBorder="1" applyAlignment="1">
      <alignment horizontal="right" vertical="center" indent="1" readingOrder="2"/>
    </xf>
    <xf numFmtId="0" fontId="36" fillId="11" borderId="30" xfId="0" applyFont="1" applyFill="1" applyBorder="1" applyAlignment="1">
      <alignment horizontal="right" vertical="center" indent="2" readingOrder="2"/>
    </xf>
    <xf numFmtId="0" fontId="37" fillId="10" borderId="0" xfId="0" applyFont="1" applyAlignment="1">
      <alignment horizontal="center" readingOrder="2"/>
    </xf>
    <xf numFmtId="0" fontId="33" fillId="7" borderId="14" xfId="4" applyFont="1" applyFill="1" applyBorder="1" applyAlignment="1">
      <alignment horizontal="right" vertical="center" indent="1" readingOrder="2"/>
    </xf>
    <xf numFmtId="0" fontId="36" fillId="11" borderId="12" xfId="0" applyFont="1" applyFill="1" applyBorder="1" applyAlignment="1">
      <alignment horizontal="right" vertical="center" indent="2" readingOrder="2"/>
    </xf>
    <xf numFmtId="0" fontId="33" fillId="6" borderId="14" xfId="4" applyFont="1" applyFill="1" applyBorder="1" applyAlignment="1">
      <alignment horizontal="right" vertical="center" indent="1" readingOrder="2"/>
    </xf>
    <xf numFmtId="0" fontId="33" fillId="9" borderId="3" xfId="3" applyFont="1" applyFill="1" applyBorder="1" applyAlignment="1">
      <alignment horizontal="right" vertical="center" indent="1" readingOrder="2"/>
    </xf>
    <xf numFmtId="0" fontId="39" fillId="9" borderId="3" xfId="3" applyFont="1" applyFill="1" applyBorder="1" applyAlignment="1">
      <alignment horizontal="right" vertical="center" readingOrder="2"/>
    </xf>
    <xf numFmtId="0" fontId="34" fillId="4" borderId="7" xfId="0" applyFont="1" applyFill="1" applyBorder="1" applyAlignment="1">
      <alignment horizontal="right" vertical="center" indent="1" readingOrder="2"/>
    </xf>
    <xf numFmtId="0" fontId="29" fillId="10" borderId="0" xfId="0" applyFont="1"/>
    <xf numFmtId="0" fontId="42" fillId="11" borderId="11" xfId="0" applyFont="1" applyFill="1" applyBorder="1" applyAlignment="1">
      <alignment horizontal="right" vertical="center" indent="1" readingOrder="2"/>
    </xf>
    <xf numFmtId="0" fontId="33" fillId="5" borderId="9" xfId="4" applyFont="1" applyFill="1" applyBorder="1" applyAlignment="1">
      <alignment horizontal="right" vertical="center" indent="1" readingOrder="2"/>
    </xf>
    <xf numFmtId="0" fontId="42" fillId="11" borderId="19" xfId="0" applyFont="1" applyFill="1" applyBorder="1" applyAlignment="1">
      <alignment horizontal="right" vertical="center" indent="2" readingOrder="2"/>
    </xf>
    <xf numFmtId="0" fontId="33" fillId="7" borderId="9" xfId="4" applyFont="1" applyFill="1" applyBorder="1" applyAlignment="1">
      <alignment horizontal="right" vertical="center" indent="1" readingOrder="2"/>
    </xf>
    <xf numFmtId="0" fontId="42" fillId="11" borderId="19" xfId="0" applyFont="1" applyFill="1" applyBorder="1" applyAlignment="1">
      <alignment horizontal="right" vertical="center" indent="1" readingOrder="2"/>
    </xf>
    <xf numFmtId="0" fontId="34" fillId="4" borderId="17" xfId="0" applyFont="1" applyFill="1" applyBorder="1" applyAlignment="1">
      <alignment horizontal="right" vertical="center" indent="1" readingOrder="2"/>
    </xf>
    <xf numFmtId="0" fontId="44" fillId="9" borderId="3" xfId="3" applyFont="1" applyFill="1" applyBorder="1" applyAlignment="1">
      <alignment horizontal="right" vertical="center" indent="1" readingOrder="2"/>
    </xf>
    <xf numFmtId="0" fontId="45" fillId="9" borderId="0" xfId="3" applyFont="1" applyFill="1" applyAlignment="1">
      <alignment horizontal="right" vertical="center" readingOrder="2"/>
    </xf>
    <xf numFmtId="0" fontId="45" fillId="9" borderId="32" xfId="3" applyFont="1" applyFill="1" applyBorder="1" applyAlignment="1">
      <alignment horizontal="right" vertical="center" readingOrder="2"/>
    </xf>
    <xf numFmtId="0" fontId="34" fillId="4" borderId="4" xfId="0" applyFont="1" applyFill="1" applyBorder="1" applyAlignment="1">
      <alignment horizontal="right" vertical="center" indent="1" readingOrder="2"/>
    </xf>
    <xf numFmtId="0" fontId="37" fillId="10" borderId="0" xfId="0" applyFont="1"/>
    <xf numFmtId="0" fontId="37" fillId="10" borderId="4" xfId="0" applyFont="1" applyBorder="1"/>
    <xf numFmtId="0" fontId="46" fillId="11" borderId="19" xfId="0" applyFont="1" applyFill="1" applyBorder="1" applyAlignment="1">
      <alignment horizontal="right" vertical="center" indent="1" readingOrder="2"/>
    </xf>
    <xf numFmtId="0" fontId="33" fillId="5" borderId="14" xfId="4" applyFont="1" applyFill="1" applyBorder="1" applyAlignment="1">
      <alignment horizontal="right" vertical="center" indent="1" readingOrder="2"/>
    </xf>
    <xf numFmtId="0" fontId="36" fillId="11" borderId="19" xfId="0" applyFont="1" applyFill="1" applyBorder="1" applyAlignment="1">
      <alignment horizontal="right" vertical="center" indent="1" readingOrder="2"/>
    </xf>
    <xf numFmtId="0" fontId="47" fillId="11" borderId="19" xfId="0" applyFont="1" applyFill="1" applyBorder="1" applyAlignment="1">
      <alignment horizontal="right" vertical="center" indent="2" readingOrder="2"/>
    </xf>
    <xf numFmtId="0" fontId="46" fillId="11" borderId="19" xfId="0" applyFont="1" applyFill="1" applyBorder="1" applyAlignment="1">
      <alignment horizontal="right" vertical="center" indent="2" readingOrder="2"/>
    </xf>
    <xf numFmtId="0" fontId="29" fillId="10" borderId="6" xfId="0" applyFont="1" applyBorder="1" applyAlignment="1">
      <alignment horizontal="right" readingOrder="2"/>
    </xf>
    <xf numFmtId="0" fontId="44" fillId="9" borderId="0" xfId="3" applyFont="1" applyFill="1" applyAlignment="1">
      <alignment horizontal="right" vertical="center" indent="1" readingOrder="2"/>
    </xf>
    <xf numFmtId="0" fontId="34" fillId="4" borderId="5" xfId="0" applyFont="1" applyFill="1" applyBorder="1" applyAlignment="1">
      <alignment horizontal="right" vertical="center" indent="1" readingOrder="2"/>
    </xf>
    <xf numFmtId="0" fontId="22" fillId="8" borderId="0" xfId="0" applyFont="1" applyFill="1" applyAlignment="1">
      <alignment horizontal="right" vertical="top" wrapText="1" readingOrder="2"/>
    </xf>
    <xf numFmtId="0" fontId="49" fillId="4" borderId="0" xfId="2" applyFont="1" applyAlignment="1">
      <alignment horizontal="center" wrapText="1" readingOrder="2"/>
    </xf>
    <xf numFmtId="0" fontId="32" fillId="10" borderId="0" xfId="0" applyFont="1" applyAlignment="1">
      <alignment horizontal="right" wrapText="1" readingOrder="2"/>
    </xf>
    <xf numFmtId="0" fontId="29" fillId="10" borderId="0" xfId="0" applyFont="1" applyAlignment="1">
      <alignment horizontal="right" wrapText="1" readingOrder="2"/>
    </xf>
    <xf numFmtId="0" fontId="50" fillId="10" borderId="0" xfId="0" applyFont="1" applyAlignment="1">
      <alignment horizontal="right" vertical="center" wrapText="1" readingOrder="2"/>
    </xf>
    <xf numFmtId="0" fontId="37" fillId="10" borderId="0" xfId="0" applyFont="1" applyAlignment="1">
      <alignment horizontal="right" readingOrder="2"/>
    </xf>
    <xf numFmtId="0" fontId="29" fillId="10" borderId="0" xfId="0" applyFont="1" applyAlignment="1">
      <alignment wrapText="1"/>
    </xf>
    <xf numFmtId="0" fontId="37" fillId="10" borderId="0" xfId="0" applyFont="1" applyAlignment="1">
      <alignment horizontal="left"/>
    </xf>
    <xf numFmtId="0" fontId="37" fillId="10" borderId="0" xfId="0" applyFont="1" applyAlignment="1">
      <alignment horizontal="center"/>
    </xf>
    <xf numFmtId="0" fontId="37" fillId="10" borderId="0" xfId="0" applyFont="1" applyAlignment="1">
      <alignment horizontal="left" indent="1"/>
    </xf>
    <xf numFmtId="0" fontId="0" fillId="10" borderId="0" xfId="0" applyAlignment="1">
      <alignment horizontal="right" vertical="center" readingOrder="2"/>
    </xf>
    <xf numFmtId="0" fontId="0" fillId="10" borderId="0" xfId="0" applyAlignment="1">
      <alignment vertical="center"/>
    </xf>
    <xf numFmtId="0" fontId="0" fillId="10" borderId="0" xfId="0" applyAlignment="1">
      <alignment horizontal="right" readingOrder="2"/>
    </xf>
    <xf numFmtId="0" fontId="30" fillId="12" borderId="0" xfId="3" applyNumberFormat="1" applyFont="1" applyFill="1" applyAlignment="1">
      <alignment horizontal="center" readingOrder="2"/>
    </xf>
    <xf numFmtId="0" fontId="32" fillId="12" borderId="14" xfId="4" applyNumberFormat="1" applyFont="1" applyFill="1" applyBorder="1" applyAlignment="1">
      <alignment horizontal="center" vertical="center" readingOrder="2"/>
    </xf>
    <xf numFmtId="0" fontId="32" fillId="12" borderId="15" xfId="4" applyNumberFormat="1" applyFont="1" applyFill="1" applyBorder="1" applyAlignment="1">
      <alignment horizontal="center" vertical="center" readingOrder="2"/>
    </xf>
    <xf numFmtId="0" fontId="32" fillId="12" borderId="16" xfId="4" applyNumberFormat="1" applyFont="1" applyFill="1" applyBorder="1" applyAlignment="1">
      <alignment horizontal="center" vertical="center" readingOrder="2"/>
    </xf>
    <xf numFmtId="0" fontId="37" fillId="10" borderId="0" xfId="0" applyFont="1" applyAlignment="1">
      <alignment horizontal="left" readingOrder="2"/>
    </xf>
    <xf numFmtId="0" fontId="36" fillId="10" borderId="0" xfId="0" applyFont="1" applyAlignment="1">
      <alignment horizontal="left" readingOrder="2"/>
    </xf>
    <xf numFmtId="0" fontId="32" fillId="12" borderId="22" xfId="4" applyNumberFormat="1" applyFont="1" applyFill="1" applyBorder="1" applyAlignment="1">
      <alignment horizontal="right" vertical="center" indent="1" readingOrder="2"/>
    </xf>
    <xf numFmtId="0" fontId="32" fillId="12" borderId="23" xfId="4" applyNumberFormat="1" applyFont="1" applyFill="1" applyBorder="1" applyAlignment="1">
      <alignment horizontal="right" vertical="center" indent="1" readingOrder="2"/>
    </xf>
    <xf numFmtId="0" fontId="32" fillId="12" borderId="24" xfId="4" applyNumberFormat="1" applyFont="1" applyFill="1" applyBorder="1" applyAlignment="1">
      <alignment horizontal="right" vertical="center" indent="1" readingOrder="2"/>
    </xf>
    <xf numFmtId="0" fontId="38" fillId="10" borderId="0" xfId="0" applyFont="1" applyAlignment="1">
      <alignment horizontal="left" readingOrder="2"/>
    </xf>
    <xf numFmtId="0" fontId="32" fillId="12" borderId="15" xfId="4" applyNumberFormat="1" applyFont="1" applyFill="1" applyBorder="1" applyAlignment="1">
      <alignment horizontal="right" vertical="center" indent="1" readingOrder="2"/>
    </xf>
    <xf numFmtId="0" fontId="32" fillId="12" borderId="16" xfId="4" applyNumberFormat="1" applyFont="1" applyFill="1" applyBorder="1" applyAlignment="1">
      <alignment horizontal="right" vertical="center" indent="1" readingOrder="2"/>
    </xf>
    <xf numFmtId="8" fontId="35" fillId="13" borderId="17" xfId="0" applyNumberFormat="1" applyFont="1" applyFill="1" applyBorder="1" applyAlignment="1">
      <alignment horizontal="left" vertical="center" readingOrder="1"/>
    </xf>
    <xf numFmtId="8" fontId="35" fillId="13" borderId="13" xfId="0" applyNumberFormat="1" applyFont="1" applyFill="1" applyBorder="1" applyAlignment="1">
      <alignment horizontal="left" vertical="center" readingOrder="1"/>
    </xf>
    <xf numFmtId="8" fontId="35" fillId="11" borderId="18" xfId="0" applyNumberFormat="1" applyFont="1" applyFill="1" applyBorder="1" applyAlignment="1">
      <alignment horizontal="left" vertical="center" readingOrder="1"/>
    </xf>
    <xf numFmtId="8" fontId="35" fillId="11" borderId="19" xfId="0" applyNumberFormat="1" applyFont="1" applyFill="1" applyBorder="1" applyAlignment="1">
      <alignment horizontal="left" vertical="center" readingOrder="1"/>
    </xf>
    <xf numFmtId="8" fontId="35" fillId="11" borderId="20" xfId="0" applyNumberFormat="1" applyFont="1" applyFill="1" applyBorder="1" applyAlignment="1">
      <alignment horizontal="left" vertical="center" readingOrder="1"/>
    </xf>
    <xf numFmtId="8" fontId="35" fillId="11" borderId="21" xfId="0" applyNumberFormat="1" applyFont="1" applyFill="1" applyBorder="1" applyAlignment="1">
      <alignment horizontal="left" vertical="center" readingOrder="1"/>
    </xf>
    <xf numFmtId="8" fontId="35" fillId="11" borderId="27" xfId="0" applyNumberFormat="1" applyFont="1" applyFill="1" applyBorder="1" applyAlignment="1">
      <alignment horizontal="left" vertical="center" readingOrder="1"/>
    </xf>
    <xf numFmtId="8" fontId="35" fillId="11" borderId="28" xfId="0" applyNumberFormat="1" applyFont="1" applyFill="1" applyBorder="1" applyAlignment="1">
      <alignment horizontal="left" vertical="center" readingOrder="1"/>
    </xf>
    <xf numFmtId="8" fontId="35" fillId="11" borderId="29" xfId="0" applyNumberFormat="1" applyFont="1" applyFill="1" applyBorder="1" applyAlignment="1">
      <alignment horizontal="left" vertical="center" readingOrder="1"/>
    </xf>
    <xf numFmtId="0" fontId="32" fillId="12" borderId="14" xfId="4" applyNumberFormat="1" applyFont="1" applyFill="1" applyBorder="1" applyAlignment="1">
      <alignment horizontal="right" vertical="center" indent="1" readingOrder="2"/>
    </xf>
    <xf numFmtId="8" fontId="40" fillId="11" borderId="31" xfId="0" applyNumberFormat="1" applyFont="1" applyFill="1" applyBorder="1" applyAlignment="1">
      <alignment horizontal="left" readingOrder="1"/>
    </xf>
    <xf numFmtId="8" fontId="40" fillId="11" borderId="2" xfId="0" applyNumberFormat="1" applyFont="1" applyFill="1" applyBorder="1" applyAlignment="1">
      <alignment horizontal="left" readingOrder="1"/>
    </xf>
    <xf numFmtId="8" fontId="40" fillId="11" borderId="6" xfId="0" applyNumberFormat="1" applyFont="1" applyFill="1" applyBorder="1" applyAlignment="1">
      <alignment horizontal="left" readingOrder="1"/>
    </xf>
    <xf numFmtId="8" fontId="40" fillId="11" borderId="8" xfId="0" applyNumberFormat="1" applyFont="1" applyFill="1" applyBorder="1" applyAlignment="1">
      <alignment horizontal="left" readingOrder="1"/>
    </xf>
    <xf numFmtId="8" fontId="40" fillId="11" borderId="5" xfId="0" applyNumberFormat="1" applyFont="1" applyFill="1" applyBorder="1" applyAlignment="1">
      <alignment horizontal="left" readingOrder="1"/>
    </xf>
    <xf numFmtId="8" fontId="43" fillId="11" borderId="20" xfId="0" applyNumberFormat="1" applyFont="1" applyFill="1" applyBorder="1" applyAlignment="1">
      <alignment horizontal="left" vertical="center" readingOrder="1"/>
    </xf>
    <xf numFmtId="0" fontId="32" fillId="12" borderId="15" xfId="4" applyNumberFormat="1" applyFont="1" applyFill="1" applyBorder="1" applyAlignment="1">
      <alignment horizontal="right" readingOrder="2"/>
    </xf>
    <xf numFmtId="0" fontId="32" fillId="12" borderId="16" xfId="4" applyNumberFormat="1" applyFont="1" applyFill="1" applyBorder="1" applyAlignment="1">
      <alignment horizontal="right" readingOrder="2"/>
    </xf>
    <xf numFmtId="8" fontId="48" fillId="11" borderId="2" xfId="0" applyNumberFormat="1" applyFont="1" applyFill="1" applyBorder="1" applyAlignment="1">
      <alignment horizontal="left" readingOrder="1"/>
    </xf>
    <xf numFmtId="8" fontId="48" fillId="11" borderId="8" xfId="0" applyNumberFormat="1" applyFont="1" applyFill="1" applyBorder="1" applyAlignment="1">
      <alignment horizontal="left" readingOrder="1"/>
    </xf>
    <xf numFmtId="8" fontId="0" fillId="13" borderId="17" xfId="0" applyNumberFormat="1" applyFill="1" applyBorder="1" applyAlignment="1">
      <alignment horizontal="left" vertical="center" readingOrder="1"/>
    </xf>
    <xf numFmtId="8" fontId="0" fillId="13" borderId="13" xfId="0" applyNumberFormat="1" applyFill="1" applyBorder="1" applyAlignment="1">
      <alignment horizontal="left" vertical="center" readingOrder="1"/>
    </xf>
    <xf numFmtId="8" fontId="0" fillId="11" borderId="18" xfId="0" applyNumberFormat="1" applyFill="1" applyBorder="1" applyAlignment="1">
      <alignment horizontal="left" vertical="center" readingOrder="1"/>
    </xf>
    <xf numFmtId="8" fontId="0" fillId="11" borderId="20" xfId="0" applyNumberFormat="1" applyFill="1" applyBorder="1" applyAlignment="1">
      <alignment horizontal="left" vertical="center" readingOrder="1"/>
    </xf>
    <xf numFmtId="8" fontId="0" fillId="11" borderId="21" xfId="0" applyNumberFormat="1" applyFill="1" applyBorder="1" applyAlignment="1">
      <alignment horizontal="left" vertical="center" readingOrder="1"/>
    </xf>
    <xf numFmtId="8" fontId="0" fillId="11" borderId="19" xfId="0" applyNumberFormat="1" applyFill="1" applyBorder="1" applyAlignment="1">
      <alignment horizontal="left" vertical="center" readingOrder="1"/>
    </xf>
    <xf numFmtId="8" fontId="40" fillId="11" borderId="5" xfId="0" applyNumberFormat="1" applyFont="1" applyFill="1" applyBorder="1" applyAlignment="1">
      <alignment horizontal="left" vertical="center" readingOrder="1"/>
    </xf>
    <xf numFmtId="8" fontId="40" fillId="11" borderId="2" xfId="0" applyNumberFormat="1" applyFont="1" applyFill="1" applyBorder="1" applyAlignment="1">
      <alignment horizontal="left" vertical="center" readingOrder="1"/>
    </xf>
    <xf numFmtId="0" fontId="10" fillId="4" borderId="0" xfId="2" applyAlignment="1">
      <alignment horizontal="right" readingOrder="2"/>
    </xf>
    <xf numFmtId="0" fontId="11" fillId="6" borderId="0" xfId="3" applyFill="1" applyAlignment="1">
      <alignment horizontal="right" vertical="center" indent="2" readingOrder="2"/>
    </xf>
    <xf numFmtId="0" fontId="11" fillId="5" borderId="0" xfId="3" applyFill="1" applyAlignment="1">
      <alignment horizontal="right" vertical="center" indent="2" readingOrder="2"/>
    </xf>
    <xf numFmtId="0" fontId="11" fillId="7" borderId="0" xfId="3" applyFill="1" applyAlignment="1">
      <alignment horizontal="right" vertical="center" indent="2" readingOrder="2"/>
    </xf>
    <xf numFmtId="0" fontId="11" fillId="4" borderId="0" xfId="3" applyFill="1" applyAlignment="1">
      <alignment horizontal="right" vertical="center" indent="2" readingOrder="2"/>
    </xf>
    <xf numFmtId="0" fontId="0" fillId="11" borderId="2" xfId="0" applyFill="1" applyBorder="1" applyAlignment="1">
      <alignment horizontal="right" vertical="center" indent="1" readingOrder="2"/>
    </xf>
    <xf numFmtId="8" fontId="0" fillId="11" borderId="2" xfId="0" applyNumberFormat="1" applyFill="1" applyBorder="1" applyAlignment="1">
      <alignment horizontal="left" vertical="center" indent="2" readingOrder="1"/>
    </xf>
    <xf numFmtId="9" fontId="0" fillId="11" borderId="2" xfId="0" applyNumberFormat="1" applyFill="1" applyBorder="1" applyAlignment="1">
      <alignment horizontal="left" vertical="center" indent="2" readingOrder="2"/>
    </xf>
    <xf numFmtId="0" fontId="0" fillId="11" borderId="2" xfId="0" applyFill="1" applyBorder="1" applyAlignment="1">
      <alignment horizontal="right" vertical="center" indent="2" readingOrder="2"/>
    </xf>
    <xf numFmtId="0" fontId="0" fillId="11" borderId="5" xfId="0" applyFill="1" applyBorder="1" applyAlignment="1">
      <alignment horizontal="right" vertical="center" indent="2" readingOrder="2"/>
    </xf>
    <xf numFmtId="8" fontId="0" fillId="11" borderId="5" xfId="0" applyNumberFormat="1" applyFill="1" applyBorder="1" applyAlignment="1">
      <alignment horizontal="left" vertical="center" indent="2" readingOrder="1"/>
    </xf>
    <xf numFmtId="9" fontId="0" fillId="11" borderId="5" xfId="0" applyNumberFormat="1" applyFill="1" applyBorder="1" applyAlignment="1">
      <alignment horizontal="left" vertical="center" indent="2" readingOrder="2"/>
    </xf>
    <xf numFmtId="0" fontId="0" fillId="10" borderId="0" xfId="0" applyAlignment="1">
      <alignment horizontal="left" indent="1"/>
    </xf>
    <xf numFmtId="166" fontId="0" fillId="10" borderId="0" xfId="0" applyNumberFormat="1" applyAlignment="1">
      <alignment horizontal="right"/>
    </xf>
    <xf numFmtId="9" fontId="0" fillId="10" borderId="0" xfId="0" applyNumberFormat="1" applyAlignment="1">
      <alignment horizontal="right"/>
    </xf>
    <xf numFmtId="0" fontId="23" fillId="10" borderId="0" xfId="0" applyFont="1" applyAlignment="1">
      <alignment wrapText="1"/>
    </xf>
    <xf numFmtId="0" fontId="32" fillId="10" borderId="0" xfId="0" applyFont="1" applyAlignment="1">
      <alignment wrapText="1"/>
    </xf>
    <xf numFmtId="0" fontId="32" fillId="10" borderId="0" xfId="0" applyFont="1"/>
    <xf numFmtId="0" fontId="10" fillId="4" borderId="0" xfId="2" applyAlignment="1">
      <alignment horizontal="right" indent="1" readingOrder="2"/>
    </xf>
    <xf numFmtId="0" fontId="7" fillId="4" borderId="0" xfId="5" applyFill="1" applyAlignment="1">
      <alignment horizontal="right" vertical="top" indent="1" readingOrder="2"/>
    </xf>
    <xf numFmtId="0" fontId="41" fillId="4" borderId="0" xfId="5" applyFont="1" applyFill="1" applyAlignment="1">
      <alignment horizontal="right" vertical="top" indent="1" readingOrder="2"/>
    </xf>
    <xf numFmtId="0" fontId="10" fillId="4" borderId="0" xfId="2" applyAlignment="1">
      <alignment horizontal="left" vertical="center" indent="3" readingOrder="2"/>
    </xf>
    <xf numFmtId="0" fontId="51" fillId="11" borderId="0" xfId="0" applyFont="1" applyFill="1" applyAlignment="1">
      <alignment horizontal="center"/>
    </xf>
  </cellXfs>
  <cellStyles count="47">
    <cellStyle name="20% - הדגשה1" xfId="24" builtinId="30" customBuiltin="1"/>
    <cellStyle name="20% - הדגשה2" xfId="28" builtinId="34" customBuiltin="1"/>
    <cellStyle name="20% - הדגשה3" xfId="32" builtinId="38" customBuiltin="1"/>
    <cellStyle name="20% - הדגשה4" xfId="36" builtinId="42" customBuiltin="1"/>
    <cellStyle name="20% - הדגשה5" xfId="40" builtinId="46" customBuiltin="1"/>
    <cellStyle name="20% - הדגשה6" xfId="44" builtinId="50" customBuiltin="1"/>
    <cellStyle name="40% - הדגשה1" xfId="25" builtinId="31" customBuiltin="1"/>
    <cellStyle name="40% - הדגשה2" xfId="29" builtinId="35" customBuiltin="1"/>
    <cellStyle name="40% - הדגשה3" xfId="33" builtinId="39" customBuiltin="1"/>
    <cellStyle name="40% - הדגשה4" xfId="37" builtinId="43" customBuiltin="1"/>
    <cellStyle name="40% - הדגשה5" xfId="41" builtinId="47" customBuiltin="1"/>
    <cellStyle name="40% - הדגשה6" xfId="45" builtinId="51" customBuiltin="1"/>
    <cellStyle name="60% - הדגשה1" xfId="26" builtinId="32" customBuiltin="1"/>
    <cellStyle name="60% - הדגשה2" xfId="30" builtinId="36" customBuiltin="1"/>
    <cellStyle name="60% - הדגשה3" xfId="34" builtinId="40" customBuiltin="1"/>
    <cellStyle name="60% - הדגשה4" xfId="38" builtinId="44" customBuiltin="1"/>
    <cellStyle name="60% - הדגשה5" xfId="42" builtinId="48" customBuiltin="1"/>
    <cellStyle name="60% - הדגשה6" xfId="46" builtinId="52" customBuiltin="1"/>
    <cellStyle name="Comma" xfId="6" builtinId="3" customBuiltin="1"/>
    <cellStyle name="Currency" xfId="8" builtinId="4" customBuiltin="1"/>
    <cellStyle name="Normal" xfId="0" builtinId="0" customBuiltin="1"/>
    <cellStyle name="Percent" xfId="10" builtinId="5" customBuiltin="1"/>
    <cellStyle name="הדגשה1" xfId="23" builtinId="29" customBuiltin="1"/>
    <cellStyle name="הדגשה2" xfId="27" builtinId="33" customBuiltin="1"/>
    <cellStyle name="הדגשה3" xfId="31" builtinId="37" customBuiltin="1"/>
    <cellStyle name="הדגשה4" xfId="35" builtinId="41" customBuiltin="1"/>
    <cellStyle name="הדגשה5" xfId="39" builtinId="45" customBuiltin="1"/>
    <cellStyle name="הדגשה6" xfId="43" builtinId="49" customBuiltin="1"/>
    <cellStyle name="הערה" xfId="21" builtinId="10" customBuiltin="1"/>
    <cellStyle name="חישוב" xfId="17" builtinId="22" customBuiltin="1"/>
    <cellStyle name="טוב" xfId="12" builtinId="26" customBuiltin="1"/>
    <cellStyle name="טקסט אזהרה" xfId="20" builtinId="11" customBuiltin="1"/>
    <cellStyle name="טקסט הסברי" xfId="5" builtinId="53" customBuiltin="1"/>
    <cellStyle name="כותרת" xfId="11" builtinId="15" customBuiltin="1"/>
    <cellStyle name="כותרת 1" xfId="1" builtinId="16" customBuiltin="1"/>
    <cellStyle name="כותרת 2" xfId="2" builtinId="17" customBuiltin="1"/>
    <cellStyle name="כותרת 3" xfId="3" builtinId="18" customBuiltin="1"/>
    <cellStyle name="כותרת 4" xfId="4" builtinId="19" customBuiltin="1"/>
    <cellStyle name="מטבע [0]" xfId="9" builtinId="7" customBuiltin="1"/>
    <cellStyle name="ניטראלי" xfId="14" builtinId="28" customBuiltin="1"/>
    <cellStyle name="סה&quot;כ" xfId="22" builtinId="25" customBuiltin="1"/>
    <cellStyle name="פלט" xfId="16" builtinId="21" customBuiltin="1"/>
    <cellStyle name="פסיק [0]" xfId="7" builtinId="6" customBuiltin="1"/>
    <cellStyle name="קלט" xfId="15" builtinId="20" customBuiltin="1"/>
    <cellStyle name="רע" xfId="13" builtinId="27" customBuiltin="1"/>
    <cellStyle name="תא מסומן" xfId="19" builtinId="23" customBuiltin="1"/>
    <cellStyle name="תא מקושר" xfId="18" builtinId="24" customBuiltin="1"/>
  </cellStyles>
  <dxfs count="532">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b val="0"/>
        <i val="0"/>
        <strike val="0"/>
        <condense val="0"/>
        <extend val="0"/>
        <outline val="0"/>
        <shadow val="0"/>
        <u val="none"/>
        <vertAlign val="baseline"/>
        <sz val="9"/>
        <color theme="1" tint="0.24994659260841701"/>
        <name val="Tahoma"/>
        <family val="2"/>
        <scheme val="none"/>
      </font>
      <numFmt numFmtId="13" formatCode="0%"/>
      <fill>
        <patternFill patternType="solid">
          <fgColor indexed="64"/>
          <bgColor theme="6" tint="0.79998168889431442"/>
        </patternFill>
      </fill>
      <alignment horizontal="left" vertical="center" textRotation="0" wrapText="0" indent="2" justifyLastLine="0" shrinkToFit="0" readingOrder="2"/>
      <border diagonalUp="0" diagonalDown="0" outline="0">
        <left style="medium">
          <color theme="6" tint="0.39997558519241921"/>
        </left>
        <right style="medium">
          <color theme="6" tint="0.39997558519241921"/>
        </right>
        <top/>
        <bottom/>
      </border>
    </dxf>
    <dxf>
      <font>
        <b val="0"/>
        <i val="0"/>
        <strike val="0"/>
        <condense val="0"/>
        <extend val="0"/>
        <outline val="0"/>
        <shadow val="0"/>
        <u val="none"/>
        <vertAlign val="baseline"/>
        <sz val="9"/>
        <color theme="1" tint="0.24994659260841701"/>
        <name val="Tahoma"/>
        <family val="2"/>
        <scheme val="none"/>
      </font>
      <numFmt numFmtId="13" formatCode="0%"/>
      <fill>
        <patternFill patternType="solid">
          <fgColor indexed="64"/>
          <bgColor theme="6" tint="0.79998168889431442"/>
        </patternFill>
      </fill>
      <alignment horizontal="left" vertical="center" textRotation="0" wrapText="0" indent="2" justifyLastLine="0" shrinkToFit="0" readingOrder="2"/>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val="0"/>
        <i val="0"/>
        <strike val="0"/>
        <condense val="0"/>
        <extend val="0"/>
        <outline val="0"/>
        <shadow val="0"/>
        <u val="none"/>
        <vertAlign val="baseline"/>
        <sz val="9"/>
        <color theme="1" tint="0.24994659260841701"/>
        <name val="Tahoma"/>
        <family val="2"/>
        <scheme val="none"/>
      </font>
      <fill>
        <patternFill patternType="solid">
          <fgColor indexed="64"/>
          <bgColor theme="6" tint="0.79998168889431442"/>
        </patternFill>
      </fill>
      <alignment horizontal="left" vertical="center" textRotation="0" wrapText="0" indent="2" justifyLastLine="0" shrinkToFit="0" readingOrder="1"/>
      <border diagonalUp="0" diagonalDown="0" outline="0">
        <left style="medium">
          <color theme="6" tint="0.39997558519241921"/>
        </left>
        <right style="medium">
          <color theme="6" tint="0.39997558519241921"/>
        </right>
        <top/>
        <bottom/>
      </border>
    </dxf>
    <dxf>
      <font>
        <b val="0"/>
        <i val="0"/>
        <strike val="0"/>
        <condense val="0"/>
        <extend val="0"/>
        <outline val="0"/>
        <shadow val="0"/>
        <u val="none"/>
        <vertAlign val="baseline"/>
        <sz val="9"/>
        <color theme="1" tint="0.24994659260841701"/>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2"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val="0"/>
        <i val="0"/>
        <strike val="0"/>
        <condense val="0"/>
        <extend val="0"/>
        <outline val="0"/>
        <shadow val="0"/>
        <u val="none"/>
        <vertAlign val="baseline"/>
        <sz val="9"/>
        <color theme="1" tint="0.24994659260841701"/>
        <name val="Tahoma"/>
        <family val="2"/>
        <scheme val="none"/>
      </font>
      <fill>
        <patternFill patternType="solid">
          <fgColor indexed="64"/>
          <bgColor theme="6" tint="0.79998168889431442"/>
        </patternFill>
      </fill>
      <alignment horizontal="left" vertical="center" textRotation="0" wrapText="0" indent="2" justifyLastLine="0" shrinkToFit="0" readingOrder="1"/>
      <border diagonalUp="0" diagonalDown="0" outline="0">
        <left style="medium">
          <color theme="6" tint="0.39997558519241921"/>
        </left>
        <right style="medium">
          <color theme="6" tint="0.39997558519241921"/>
        </right>
        <top/>
        <bottom/>
      </border>
    </dxf>
    <dxf>
      <font>
        <b val="0"/>
        <i val="0"/>
        <strike val="0"/>
        <condense val="0"/>
        <extend val="0"/>
        <outline val="0"/>
        <shadow val="0"/>
        <u val="none"/>
        <vertAlign val="baseline"/>
        <sz val="9"/>
        <color theme="1" tint="0.24994659260841701"/>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2"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val="0"/>
        <i val="0"/>
        <strike val="0"/>
        <condense val="0"/>
        <extend val="0"/>
        <outline val="0"/>
        <shadow val="0"/>
        <u val="none"/>
        <vertAlign val="baseline"/>
        <sz val="9"/>
        <color theme="1" tint="0.24994659260841701"/>
        <name val="Tahoma"/>
        <family val="2"/>
        <scheme val="none"/>
      </font>
      <fill>
        <patternFill patternType="solid">
          <fgColor indexed="64"/>
          <bgColor theme="6" tint="0.79998168889431442"/>
        </patternFill>
      </fill>
      <alignment horizontal="left" vertical="center" textRotation="0" wrapText="0" indent="2" justifyLastLine="0" shrinkToFit="0" readingOrder="1"/>
      <border diagonalUp="0" diagonalDown="0" outline="0">
        <left style="medium">
          <color theme="6" tint="0.39997558519241921"/>
        </left>
        <right style="medium">
          <color theme="6" tint="0.39997558519241921"/>
        </right>
        <top/>
        <bottom/>
      </border>
    </dxf>
    <dxf>
      <font>
        <b val="0"/>
        <i val="0"/>
        <strike val="0"/>
        <condense val="0"/>
        <extend val="0"/>
        <outline val="0"/>
        <shadow val="0"/>
        <u val="none"/>
        <vertAlign val="baseline"/>
        <sz val="9"/>
        <color theme="1" tint="0.24994659260841701"/>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2"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val="0"/>
        <i val="0"/>
        <strike val="0"/>
        <condense val="0"/>
        <extend val="0"/>
        <outline val="0"/>
        <shadow val="0"/>
        <u val="none"/>
        <vertAlign val="baseline"/>
        <sz val="9"/>
        <color theme="1" tint="0.24994659260841701"/>
        <name val="Tahoma"/>
        <family val="2"/>
        <scheme val="none"/>
      </font>
      <fill>
        <patternFill patternType="solid">
          <fgColor indexed="64"/>
          <bgColor theme="6" tint="0.79998168889431442"/>
        </patternFill>
      </fill>
      <alignment horizontal="left" vertical="center" textRotation="0" wrapText="0" indent="2" justifyLastLine="0" shrinkToFit="0" readingOrder="0"/>
      <border diagonalUp="0" diagonalDown="0" outline="0">
        <left style="medium">
          <color theme="6" tint="0.39997558519241921"/>
        </left>
        <right style="medium">
          <color theme="6" tint="0.39997558519241921"/>
        </right>
        <top/>
        <bottom/>
      </border>
    </dxf>
    <dxf>
      <font>
        <b val="0"/>
        <i val="0"/>
        <strike val="0"/>
        <condense val="0"/>
        <extend val="0"/>
        <outline val="0"/>
        <shadow val="0"/>
        <u val="none"/>
        <vertAlign val="baseline"/>
        <sz val="9"/>
        <color theme="1" tint="0.24994659260841701"/>
        <name val="Tahoma"/>
        <family val="2"/>
        <scheme val="none"/>
      </font>
      <numFmt numFmtId="0" formatCode="General"/>
      <fill>
        <patternFill patternType="solid">
          <fgColor indexed="64"/>
          <bgColor theme="6" tint="0.79998168889431442"/>
        </patternFill>
      </fill>
      <alignment horizontal="left" vertical="center" textRotation="0" wrapText="0" indent="2" justifyLastLine="0" shrinkToFit="0" readingOrder="0"/>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strike val="0"/>
        <outline val="0"/>
        <shadow val="0"/>
        <u val="none"/>
        <vertAlign val="baseline"/>
        <name val="Tahoma"/>
        <family val="2"/>
        <scheme val="none"/>
      </font>
    </dxf>
    <dxf>
      <border outline="0">
        <bottom style="medium">
          <color theme="6" tint="0.39997558519241921"/>
        </bottom>
      </border>
    </dxf>
    <dxf>
      <font>
        <b val="0"/>
        <i val="0"/>
        <strike val="0"/>
        <condense val="0"/>
        <extend val="0"/>
        <outline val="0"/>
        <shadow val="0"/>
        <u val="none"/>
        <vertAlign val="baseline"/>
        <sz val="9"/>
        <color theme="1" tint="0.24994659260841701"/>
        <name val="Tahoma"/>
        <family val="2"/>
        <scheme val="none"/>
      </font>
      <fill>
        <patternFill patternType="solid">
          <fgColor indexed="64"/>
          <bgColor theme="6" tint="0.79998168889431442"/>
        </patternFill>
      </fill>
      <alignment horizontal="right" vertical="center" textRotation="0" wrapText="0" indent="2" justifyLastLine="0" shrinkToFit="0" readingOrder="0"/>
    </dxf>
    <dxf>
      <font>
        <strike val="0"/>
        <outline val="0"/>
        <shadow val="0"/>
        <u val="none"/>
        <vertAlign val="baseline"/>
        <name val="Tahoma"/>
        <family val="2"/>
        <scheme val="none"/>
      </font>
    </dxf>
    <dxf>
      <font>
        <b/>
        <i val="0"/>
        <strike val="0"/>
        <condense val="0"/>
        <extend val="0"/>
        <outline val="0"/>
        <shadow val="0"/>
        <u val="none"/>
        <vertAlign val="baseline"/>
        <sz val="9"/>
        <color auto="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auto="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auto="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auto="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auto="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auto="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auto="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auto="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auto="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auto="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auto="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auto="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auto="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auto="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auto="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auto="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auto="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auto="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auto="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auto="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auto="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auto="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auto="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auto="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auto="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top/>
        <bottom/>
      </border>
    </dxf>
    <dxf>
      <font>
        <b/>
        <i val="0"/>
        <strike val="0"/>
        <condense val="0"/>
        <extend val="0"/>
        <outline val="0"/>
        <shadow val="0"/>
        <u val="none"/>
        <vertAlign val="baseline"/>
        <sz val="9"/>
        <color auto="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10"/>
        <color theme="0"/>
        <name val="Tahoma"/>
        <family val="2"/>
        <scheme val="none"/>
      </font>
      <fill>
        <patternFill patternType="solid">
          <fgColor indexed="64"/>
          <bgColor theme="3"/>
        </patternFill>
      </fill>
      <alignment horizontal="left" vertical="center" textRotation="0" wrapText="0" indent="1" justifyLastLine="0" shrinkToFit="0" readingOrder="0"/>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10"/>
        <color theme="0"/>
        <name val="Tahoma"/>
        <family val="2"/>
        <scheme val="none"/>
      </font>
      <numFmt numFmtId="0" formatCode="General"/>
      <fill>
        <patternFill patternType="solid">
          <fgColor indexed="64"/>
          <bgColor theme="3"/>
        </patternFill>
      </fill>
      <alignment horizontal="left" vertical="center" textRotation="0" wrapText="0" relativeIndent="1" justifyLastLine="0" shrinkToFit="0" readingOrder="0"/>
      <border diagonalUp="0" diagonalDown="0" outline="0">
        <left style="medium">
          <color theme="6" tint="0.39997558519241921"/>
        </left>
        <right style="medium">
          <color theme="6" tint="0.39997558519241921"/>
        </right>
        <top style="medium">
          <color theme="6" tint="0.39997558519241921"/>
        </top>
        <bottom/>
      </border>
    </dxf>
    <dxf>
      <font>
        <strike val="0"/>
        <outline val="0"/>
        <shadow val="0"/>
        <vertAlign val="baseline"/>
        <name val="Tahoma"/>
        <family val="2"/>
        <scheme val="none"/>
      </font>
    </dxf>
    <dxf>
      <border outline="0">
        <bottom style="medium">
          <color theme="6" tint="0.39997558519241921"/>
        </bottom>
      </border>
    </dxf>
    <dxf>
      <font>
        <b/>
        <i val="0"/>
        <strike val="0"/>
        <condense val="0"/>
        <extend val="0"/>
        <outline val="0"/>
        <shadow val="0"/>
        <u val="none"/>
        <vertAlign val="baseline"/>
        <sz val="9"/>
        <color auto="1"/>
        <name val="Tahoma"/>
        <family val="2"/>
        <scheme val="none"/>
      </font>
      <numFmt numFmtId="0" formatCode="General"/>
      <fill>
        <patternFill patternType="solid">
          <fgColor indexed="64"/>
          <bgColor theme="6"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4"/>
        <color theme="2"/>
        <name val="Tahoma"/>
        <family val="2"/>
        <scheme val="none"/>
      </font>
      <numFmt numFmtId="0" formatCode="General"/>
      <fill>
        <patternFill patternType="solid">
          <fgColor indexed="64"/>
          <bgColor theme="3" tint="-0.499984740745262"/>
        </patternFill>
      </fill>
      <alignment horizontal="general" vertical="center" textRotation="0" wrapText="0" indent="0" justifyLastLine="0" shrinkToFit="0" readingOrder="0"/>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top/>
        <bottom/>
      </border>
    </dxf>
    <dxf>
      <font>
        <strike val="0"/>
        <outline val="0"/>
        <shadow val="0"/>
        <vertAlign val="baseline"/>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4506668294322"/>
        </left>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right style="medium">
          <color theme="6" tint="0.39994506668294322"/>
        </right>
        <top style="medium">
          <color theme="6" tint="0.39994506668294322"/>
        </top>
        <bottom style="medium">
          <color theme="6" tint="0.39994506668294322"/>
        </bottom>
      </border>
    </dxf>
    <dxf>
      <font>
        <b/>
        <i val="0"/>
        <strike val="0"/>
        <outline val="0"/>
        <shadow val="0"/>
        <u val="none"/>
        <vertAlign val="baseline"/>
        <sz val="10"/>
        <color theme="1" tint="0.24994659260841701"/>
        <name val="Tahoma"/>
        <family val="2"/>
        <scheme val="none"/>
      </font>
      <fill>
        <patternFill patternType="solid">
          <fgColor indexed="64"/>
          <bgColor theme="6" tint="0.79998168889431442"/>
        </patternFill>
      </fill>
      <alignment horizontal="right" vertical="center" textRotation="0" wrapText="0" indent="2" justifyLastLine="0" shrinkToFit="0" readingOrder="2"/>
      <border diagonalUp="0" diagonalDown="0" outline="0">
        <left/>
        <right style="medium">
          <color theme="6" tint="0.39994506668294322"/>
        </right>
        <top/>
        <bottom/>
      </border>
    </dxf>
    <dxf>
      <font>
        <b/>
        <strike val="0"/>
        <outline val="0"/>
        <shadow val="0"/>
        <u val="none"/>
        <vertAlign val="baseline"/>
        <sz val="10"/>
        <color theme="0"/>
        <name val="Tahoma"/>
        <family val="2"/>
        <scheme val="none"/>
      </font>
      <fill>
        <patternFill patternType="solid">
          <fgColor indexed="64"/>
          <bgColor theme="3"/>
        </patternFill>
      </fill>
      <alignment horizontal="left" vertical="center" textRotation="0" wrapText="0" relativeIndent="-1"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border>
        <top style="medium">
          <color theme="6" tint="0.39994506668294322"/>
        </top>
      </border>
    </dxf>
    <dxf>
      <font>
        <strike val="0"/>
        <outline val="0"/>
        <shadow val="0"/>
        <vertAlign val="baseline"/>
        <name val="Tahoma"/>
        <family val="2"/>
        <scheme val="none"/>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dxf>
    <dxf>
      <border>
        <bottom style="medium">
          <color theme="6" tint="0.39994506668294322"/>
        </bottom>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top/>
        <bottom/>
      </border>
    </dxf>
    <dxf>
      <font>
        <strike val="0"/>
        <outline val="0"/>
        <shadow val="0"/>
        <vertAlign val="baseline"/>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4506668294322"/>
        </left>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10"/>
        <color theme="1" tint="0.24994659260841701"/>
        <name val="Tahoma"/>
        <family val="2"/>
        <scheme val="none"/>
      </font>
      <fill>
        <patternFill patternType="solid">
          <fgColor indexed="64"/>
          <bgColor theme="6" tint="0.79998168889431442"/>
        </patternFill>
      </fill>
      <alignment horizontal="right" vertical="center" textRotation="0" wrapText="0" indent="2" justifyLastLine="0" shrinkToFit="0" readingOrder="2"/>
      <border diagonalUp="0" diagonalDown="0" outline="0">
        <left/>
        <right style="medium">
          <color theme="6" tint="0.39994506668294322"/>
        </right>
        <top/>
        <bottom/>
      </border>
    </dxf>
    <dxf>
      <font>
        <b/>
        <strike val="0"/>
        <outline val="0"/>
        <shadow val="0"/>
        <u val="none"/>
        <vertAlign val="baseline"/>
        <sz val="10"/>
        <color theme="0"/>
        <name val="Tahoma"/>
        <family val="2"/>
        <scheme val="none"/>
      </font>
      <fill>
        <patternFill patternType="solid">
          <fgColor indexed="64"/>
          <bgColor theme="3"/>
        </patternFill>
      </fill>
      <alignment horizontal="left" vertical="center" textRotation="0" wrapText="0" relativeIndent="-1"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border>
        <top style="medium">
          <color theme="6" tint="0.39994506668294322"/>
        </top>
      </border>
    </dxf>
    <dxf>
      <font>
        <strike val="0"/>
        <outline val="0"/>
        <shadow val="0"/>
        <vertAlign val="baseline"/>
        <name val="Tahoma"/>
        <family val="2"/>
        <scheme val="none"/>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dxf>
    <dxf>
      <border>
        <bottom style="medium">
          <color theme="6" tint="0.39994506668294322"/>
        </bottom>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top/>
        <bottom/>
      </border>
    </dxf>
    <dxf>
      <font>
        <strike val="0"/>
        <outline val="0"/>
        <shadow val="0"/>
        <vertAlign val="baseline"/>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4506668294322"/>
        </left>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right style="medium">
          <color theme="6" tint="0.39994506668294322"/>
        </right>
        <top style="medium">
          <color theme="6" tint="0.39994506668294322"/>
        </top>
        <bottom style="medium">
          <color theme="6" tint="0.39994506668294322"/>
        </bottom>
      </border>
    </dxf>
    <dxf>
      <font>
        <b/>
        <i val="0"/>
        <strike val="0"/>
        <outline val="0"/>
        <shadow val="0"/>
        <u val="none"/>
        <vertAlign val="baseline"/>
        <sz val="10"/>
        <color theme="1"/>
        <name val="Tahoma"/>
        <family val="2"/>
        <scheme val="none"/>
      </font>
      <fill>
        <patternFill patternType="solid">
          <fgColor indexed="64"/>
          <bgColor theme="6" tint="0.79998168889431442"/>
        </patternFill>
      </fill>
      <alignment horizontal="right" vertical="center" textRotation="0" wrapText="0" indent="1" justifyLastLine="0" shrinkToFit="0" readingOrder="2"/>
      <border diagonalUp="0" diagonalDown="0" outline="0">
        <left/>
        <right style="medium">
          <color theme="6" tint="0.39994506668294322"/>
        </right>
        <top/>
        <bottom/>
      </border>
    </dxf>
    <dxf>
      <font>
        <b/>
        <strike val="0"/>
        <outline val="0"/>
        <shadow val="0"/>
        <u val="none"/>
        <vertAlign val="baseline"/>
        <sz val="10"/>
        <color theme="0"/>
        <name val="Tahoma"/>
        <family val="2"/>
        <scheme val="none"/>
      </font>
      <fill>
        <patternFill patternType="solid">
          <fgColor indexed="64"/>
          <bgColor theme="3"/>
        </patternFill>
      </fill>
      <alignment horizontal="left" vertical="center" textRotation="0" wrapText="0" relativeIndent="-1"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border>
        <top style="medium">
          <color theme="6" tint="0.39994506668294322"/>
        </top>
      </border>
    </dxf>
    <dxf>
      <font>
        <strike val="0"/>
        <outline val="0"/>
        <shadow val="0"/>
        <vertAlign val="baseline"/>
        <name val="Tahoma"/>
        <family val="2"/>
        <scheme val="none"/>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dxf>
    <dxf>
      <border>
        <bottom style="medium">
          <color theme="6" tint="0.39994506668294322"/>
        </bottom>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66" formatCode="&quot;₪&quot;\ #,##0.00;[Red]&quot;₪&quot;\ #,##0.00"/>
      <alignment horizontal="right" vertical="center" textRotation="0" wrapText="0" indent="0" justifyLastLine="0" shrinkToFit="0" readingOrder="2"/>
    </dxf>
    <dxf>
      <font>
        <b val="0"/>
        <strike val="0"/>
        <outline val="0"/>
        <shadow val="0"/>
        <vertAlign val="baseline"/>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4506668294322"/>
        </left>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alignment horizontal="right" vertical="center" textRotation="0" wrapText="0" indent="0" justifyLastLine="0" shrinkToFit="0" readingOrder="2"/>
    </dxf>
    <dxf>
      <font>
        <strike val="0"/>
        <outline val="0"/>
        <shadow val="0"/>
        <vertAlign val="baseline"/>
        <name val="Tahoma"/>
        <family val="2"/>
        <scheme val="none"/>
      </font>
      <numFmt numFmtId="12" formatCode="&quot;₪&quot;\ #,##0.00;[Red]&quot;₪&quot;\ \-#,##0.00"/>
      <alignment horizontal="left" vertical="center" textRotation="0" wrapText="0" indent="0" justifyLastLine="0" shrinkToFit="0" readingOrder="1"/>
    </dxf>
    <dxf>
      <font>
        <strike val="0"/>
        <outline val="0"/>
        <shadow val="0"/>
        <vertAlign val="baseline"/>
        <name val="Tahoma"/>
        <family val="2"/>
        <scheme val="none"/>
      </font>
      <numFmt numFmtId="166" formatCode="&quot;₪&quot;\ #,##0.00;[Red]&quot;₪&quot;\ #,##0.00"/>
      <alignment horizontal="right" vertical="center" textRotation="0" wrapText="0" indent="0" justifyLastLine="0" shrinkToFit="0" readingOrder="2"/>
    </dxf>
    <dxf>
      <font>
        <strike val="0"/>
        <outline val="0"/>
        <shadow val="0"/>
        <vertAlign val="baseline"/>
        <name val="Tahoma"/>
        <family val="2"/>
        <scheme val="none"/>
      </font>
      <numFmt numFmtId="12" formatCode="&quot;₪&quot;\ #,##0.00;[Red]&quot;₪&quot;\ \-#,##0.00"/>
      <alignment horizontal="left" vertical="center" textRotation="0" wrapText="0" indent="0" justifyLastLine="0" shrinkToFit="0" readingOrder="1"/>
    </dxf>
    <dxf>
      <font>
        <strike val="0"/>
        <outline val="0"/>
        <shadow val="0"/>
        <vertAlign val="baseline"/>
        <name val="Tahoma"/>
        <family val="2"/>
        <scheme val="none"/>
      </font>
      <numFmt numFmtId="166" formatCode="&quot;₪&quot;\ #,##0.00;[Red]&quot;₪&quot;\ #,##0.00"/>
      <alignment horizontal="right" vertical="center" textRotation="0" wrapText="0" indent="0" justifyLastLine="0" shrinkToFit="0" readingOrder="2"/>
    </dxf>
    <dxf>
      <font>
        <strike val="0"/>
        <outline val="0"/>
        <shadow val="0"/>
        <vertAlign val="baseline"/>
        <name val="Tahoma"/>
        <family val="2"/>
        <scheme val="none"/>
      </font>
      <numFmt numFmtId="12" formatCode="&quot;₪&quot;\ #,##0.00;[Red]&quot;₪&quot;\ \-#,##0.00"/>
      <alignment horizontal="left" vertical="center" textRotation="0" wrapText="0" indent="0" justifyLastLine="0" shrinkToFit="0" readingOrder="1"/>
    </dxf>
    <dxf>
      <font>
        <strike val="0"/>
        <outline val="0"/>
        <shadow val="0"/>
        <vertAlign val="baseline"/>
        <name val="Tahoma"/>
        <family val="2"/>
        <scheme val="none"/>
      </font>
      <numFmt numFmtId="166" formatCode="&quot;₪&quot;\ #,##0.00;[Red]&quot;₪&quot;\ #,##0.00"/>
      <alignment horizontal="right" vertical="center" textRotation="0" wrapText="0" indent="0" justifyLastLine="0" shrinkToFit="0" readingOrder="2"/>
    </dxf>
    <dxf>
      <font>
        <strike val="0"/>
        <outline val="0"/>
        <shadow val="0"/>
        <vertAlign val="baseline"/>
        <name val="Tahoma"/>
        <family val="2"/>
        <scheme val="none"/>
      </font>
      <numFmt numFmtId="12" formatCode="&quot;₪&quot;\ #,##0.00;[Red]&quot;₪&quot;\ \-#,##0.00"/>
      <alignment horizontal="left" vertical="center" textRotation="0" wrapText="0" indent="0" justifyLastLine="0" shrinkToFit="0" readingOrder="1"/>
    </dxf>
    <dxf>
      <font>
        <strike val="0"/>
        <outline val="0"/>
        <shadow val="0"/>
        <vertAlign val="baseline"/>
        <name val="Tahoma"/>
        <family val="2"/>
        <scheme val="none"/>
      </font>
      <numFmt numFmtId="166" formatCode="&quot;₪&quot;\ #,##0.00;[Red]&quot;₪&quot;\ #,##0.00"/>
      <alignment horizontal="right" vertical="center" textRotation="0" wrapText="0" indent="0" justifyLastLine="0" shrinkToFit="0" readingOrder="2"/>
    </dxf>
    <dxf>
      <font>
        <strike val="0"/>
        <outline val="0"/>
        <shadow val="0"/>
        <vertAlign val="baseline"/>
        <name val="Tahoma"/>
        <family val="2"/>
        <scheme val="none"/>
      </font>
      <numFmt numFmtId="12" formatCode="&quot;₪&quot;\ #,##0.00;[Red]&quot;₪&quot;\ \-#,##0.00"/>
      <alignment horizontal="left" vertical="center" textRotation="0" wrapText="0" indent="0" justifyLastLine="0" shrinkToFit="0" readingOrder="1"/>
    </dxf>
    <dxf>
      <font>
        <strike val="0"/>
        <outline val="0"/>
        <shadow val="0"/>
        <vertAlign val="baseline"/>
        <name val="Tahoma"/>
        <family val="2"/>
        <scheme val="none"/>
      </font>
      <numFmt numFmtId="166" formatCode="&quot;₪&quot;\ #,##0.00;[Red]&quot;₪&quot;\ #,##0.00"/>
      <alignment horizontal="right" vertical="center" textRotation="0" wrapText="0" indent="0" justifyLastLine="0" shrinkToFit="0" readingOrder="2"/>
    </dxf>
    <dxf>
      <font>
        <strike val="0"/>
        <outline val="0"/>
        <shadow val="0"/>
        <vertAlign val="baseline"/>
        <name val="Tahoma"/>
        <family val="2"/>
        <scheme val="none"/>
      </font>
      <numFmt numFmtId="12" formatCode="&quot;₪&quot;\ #,##0.00;[Red]&quot;₪&quot;\ \-#,##0.00"/>
      <alignment horizontal="left" vertical="center" textRotation="0" wrapText="0" indent="0" justifyLastLine="0" shrinkToFit="0" readingOrder="1"/>
    </dxf>
    <dxf>
      <font>
        <strike val="0"/>
        <outline val="0"/>
        <shadow val="0"/>
        <vertAlign val="baseline"/>
        <name val="Tahoma"/>
        <family val="2"/>
        <scheme val="none"/>
      </font>
      <numFmt numFmtId="166" formatCode="&quot;₪&quot;\ #,##0.00;[Red]&quot;₪&quot;\ #,##0.00"/>
      <alignment horizontal="right" vertical="center" textRotation="0" wrapText="0" indent="0" justifyLastLine="0" shrinkToFit="0" readingOrder="2"/>
    </dxf>
    <dxf>
      <font>
        <strike val="0"/>
        <outline val="0"/>
        <shadow val="0"/>
        <vertAlign val="baseline"/>
        <name val="Tahoma"/>
        <family val="2"/>
        <scheme val="none"/>
      </font>
      <numFmt numFmtId="12" formatCode="&quot;₪&quot;\ #,##0.00;[Red]&quot;₪&quot;\ \-#,##0.00"/>
      <alignment horizontal="left" vertical="center" textRotation="0" wrapText="0" indent="0" justifyLastLine="0" shrinkToFit="0" readingOrder="1"/>
    </dxf>
    <dxf>
      <font>
        <strike val="0"/>
        <outline val="0"/>
        <shadow val="0"/>
        <vertAlign val="baseline"/>
        <name val="Tahoma"/>
        <family val="2"/>
        <scheme val="none"/>
      </font>
      <numFmt numFmtId="166" formatCode="&quot;₪&quot;\ #,##0.00;[Red]&quot;₪&quot;\ #,##0.00"/>
      <alignment horizontal="right" vertical="center" textRotation="0" wrapText="0" indent="0" justifyLastLine="0" shrinkToFit="0" readingOrder="2"/>
    </dxf>
    <dxf>
      <font>
        <strike val="0"/>
        <outline val="0"/>
        <shadow val="0"/>
        <vertAlign val="baseline"/>
        <name val="Tahoma"/>
        <family val="2"/>
        <scheme val="none"/>
      </font>
      <numFmt numFmtId="12" formatCode="&quot;₪&quot;\ #,##0.00;[Red]&quot;₪&quot;\ \-#,##0.00"/>
      <alignment horizontal="left" vertical="center" textRotation="0" wrapText="0" indent="0" justifyLastLine="0" shrinkToFit="0" readingOrder="1"/>
    </dxf>
    <dxf>
      <font>
        <strike val="0"/>
        <outline val="0"/>
        <shadow val="0"/>
        <vertAlign val="baseline"/>
        <name val="Tahoma"/>
        <family val="2"/>
        <scheme val="none"/>
      </font>
      <numFmt numFmtId="166" formatCode="&quot;₪&quot;\ #,##0.00;[Red]&quot;₪&quot;\ #,##0.00"/>
      <alignment horizontal="right" vertical="center" textRotation="0" wrapText="0" indent="0" justifyLastLine="0" shrinkToFit="0" readingOrder="2"/>
    </dxf>
    <dxf>
      <font>
        <strike val="0"/>
        <outline val="0"/>
        <shadow val="0"/>
        <vertAlign val="baseline"/>
        <name val="Tahoma"/>
        <family val="2"/>
        <scheme val="none"/>
      </font>
      <numFmt numFmtId="12" formatCode="&quot;₪&quot;\ #,##0.00;[Red]&quot;₪&quot;\ \-#,##0.00"/>
      <alignment horizontal="left" vertical="center" textRotation="0" wrapText="0" indent="0" justifyLastLine="0" shrinkToFit="0" readingOrder="1"/>
    </dxf>
    <dxf>
      <font>
        <strike val="0"/>
        <outline val="0"/>
        <shadow val="0"/>
        <vertAlign val="baseline"/>
        <name val="Tahoma"/>
        <family val="2"/>
        <scheme val="none"/>
      </font>
      <numFmt numFmtId="166" formatCode="&quot;₪&quot;\ #,##0.00;[Red]&quot;₪&quot;\ #,##0.00"/>
      <alignment horizontal="right" vertical="center" textRotation="0" wrapText="0" indent="0" justifyLastLine="0" shrinkToFit="0" readingOrder="2"/>
    </dxf>
    <dxf>
      <font>
        <strike val="0"/>
        <outline val="0"/>
        <shadow val="0"/>
        <vertAlign val="baseline"/>
        <name val="Tahoma"/>
        <family val="2"/>
        <scheme val="none"/>
      </font>
      <numFmt numFmtId="12" formatCode="&quot;₪&quot;\ #,##0.00;[Red]&quot;₪&quot;\ \-#,##0.00"/>
      <alignment horizontal="left" vertical="center" textRotation="0" wrapText="0" indent="0" justifyLastLine="0" shrinkToFit="0" readingOrder="1"/>
    </dxf>
    <dxf>
      <font>
        <strike val="0"/>
        <outline val="0"/>
        <shadow val="0"/>
        <vertAlign val="baseline"/>
        <name val="Tahoma"/>
        <family val="2"/>
        <scheme val="none"/>
      </font>
      <numFmt numFmtId="166" formatCode="&quot;₪&quot;\ #,##0.00;[Red]&quot;₪&quot;\ #,##0.00"/>
      <alignment horizontal="right" vertical="center" textRotation="0" wrapText="0" indent="0" justifyLastLine="0" shrinkToFit="0" readingOrder="2"/>
    </dxf>
    <dxf>
      <font>
        <strike val="0"/>
        <outline val="0"/>
        <shadow val="0"/>
        <vertAlign val="baseline"/>
        <name val="Tahoma"/>
        <family val="2"/>
        <scheme val="none"/>
      </font>
      <numFmt numFmtId="12" formatCode="&quot;₪&quot;\ #,##0.00;[Red]&quot;₪&quot;\ \-#,##0.00"/>
      <alignment horizontal="left" vertical="center" textRotation="0" wrapText="0" indent="0" justifyLastLine="0" shrinkToFit="0" readingOrder="1"/>
    </dxf>
    <dxf>
      <font>
        <strike val="0"/>
        <outline val="0"/>
        <shadow val="0"/>
        <vertAlign val="baseline"/>
        <name val="Tahoma"/>
        <family val="2"/>
        <scheme val="none"/>
      </font>
      <numFmt numFmtId="166" formatCode="&quot;₪&quot;\ #,##0.00;[Red]&quot;₪&quot;\ #,##0.00"/>
      <alignment horizontal="right" vertical="center" textRotation="0" wrapText="0" indent="0" justifyLastLine="0" shrinkToFit="0" readingOrder="2"/>
    </dxf>
    <dxf>
      <font>
        <strike val="0"/>
        <outline val="0"/>
        <shadow val="0"/>
        <vertAlign val="baseline"/>
        <name val="Tahoma"/>
        <family val="2"/>
        <scheme val="none"/>
      </font>
      <numFmt numFmtId="12" formatCode="&quot;₪&quot;\ #,##0.00;[Red]&quot;₪&quot;\ \-#,##0.00"/>
      <alignment horizontal="left" vertical="center" textRotation="0" wrapText="0" indent="0" justifyLastLine="0" shrinkToFit="0" readingOrder="1"/>
    </dxf>
    <dxf>
      <font>
        <b/>
        <i val="0"/>
        <strike val="0"/>
        <outline val="0"/>
        <shadow val="0"/>
        <u val="none"/>
        <vertAlign val="baseline"/>
        <sz val="10"/>
        <color theme="1" tint="0.24994659260841701"/>
        <name val="Tahoma"/>
        <family val="2"/>
        <scheme val="none"/>
      </font>
      <fill>
        <patternFill patternType="solid">
          <fgColor indexed="64"/>
          <bgColor theme="6" tint="0.79998168889431442"/>
        </patternFill>
      </fill>
      <alignment horizontal="right" vertical="center" textRotation="0" wrapText="0" indent="1" justifyLastLine="0" shrinkToFit="0" readingOrder="2"/>
      <border diagonalUp="0" diagonalDown="0" outline="0">
        <left/>
        <right style="medium">
          <color theme="6" tint="0.39994506668294322"/>
        </right>
        <top/>
        <bottom/>
      </border>
    </dxf>
    <dxf>
      <font>
        <strike val="0"/>
        <outline val="0"/>
        <shadow val="0"/>
        <vertAlign val="baseline"/>
        <name val="Tahoma"/>
        <family val="2"/>
        <scheme val="none"/>
      </font>
      <alignment horizontal="left" vertical="center" textRotation="0" wrapText="0" relativeIndent="1" justifyLastLine="0" shrinkToFit="0" readingOrder="0"/>
    </dxf>
    <dxf>
      <border>
        <top style="medium">
          <color theme="6" tint="0.39994506668294322"/>
        </top>
      </border>
    </dxf>
    <dxf>
      <font>
        <strike val="0"/>
        <outline val="0"/>
        <shadow val="0"/>
        <vertAlign val="baseline"/>
        <name val="Tahoma"/>
        <family val="2"/>
        <scheme val="none"/>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dxf>
    <dxf>
      <border>
        <bottom style="medium">
          <color theme="6" tint="0.39994506668294322"/>
        </bottom>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bottom" textRotation="0" wrapText="0" indent="0" justifyLastLine="0" shrinkToFit="0" readingOrder="1"/>
      <border diagonalUp="0" diagonalDown="0" outline="0">
        <left style="medium">
          <color theme="6" tint="0.39997558519241921"/>
        </left>
        <right/>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bottom" textRotation="0" wrapText="0" indent="0" justifyLastLine="0" shrinkToFit="0" readingOrder="1"/>
      <border diagonalUp="0" diagonalDown="0" outline="0">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10"/>
        <color theme="0"/>
        <name val="Tahoma"/>
        <family val="2"/>
        <scheme val="none"/>
      </font>
      <fill>
        <patternFill patternType="solid">
          <fgColor indexed="64"/>
          <bgColor theme="3"/>
        </patternFill>
      </fill>
      <alignment horizontal="left" vertical="center" textRotation="0" wrapText="0" indent="1" justifyLastLine="0" shrinkToFit="0" readingOrder="0"/>
      <border diagonalUp="0" diagonalDown="0" outline="0">
        <left/>
        <right/>
        <top/>
        <bottom/>
      </border>
    </dxf>
    <dxf>
      <font>
        <b/>
        <i val="0"/>
        <strike val="0"/>
        <condense val="0"/>
        <extend val="0"/>
        <outline val="0"/>
        <shadow val="0"/>
        <u val="none"/>
        <vertAlign val="baseline"/>
        <sz val="10"/>
        <color theme="0"/>
        <name val="Tahoma"/>
        <family val="2"/>
        <scheme val="none"/>
      </font>
      <numFmt numFmtId="0" formatCode="General"/>
      <fill>
        <patternFill patternType="solid">
          <fgColor indexed="64"/>
          <bgColor theme="3"/>
        </patternFill>
      </fill>
      <alignment horizontal="left" vertical="center" textRotation="0" wrapText="0" relativeIndent="1" justifyLastLine="0" shrinkToFit="0" readingOrder="0"/>
      <border diagonalUp="0" diagonalDown="0" outline="0">
        <left/>
        <right/>
        <top style="medium">
          <color theme="6" tint="0.39997558519241921"/>
        </top>
        <bottom/>
      </border>
    </dxf>
    <dxf>
      <font>
        <strike val="0"/>
        <outline val="0"/>
        <shadow val="0"/>
        <vertAlign val="baseline"/>
        <name val="Tahoma"/>
        <family val="2"/>
        <scheme val="none"/>
      </font>
    </dxf>
    <dxf>
      <border outline="0">
        <left style="medium">
          <color theme="6" tint="0.39997558519241921"/>
        </left>
        <bottom style="medium">
          <color theme="6" tint="0.39997558519241921"/>
        </bottom>
      </border>
    </dxf>
    <dxf>
      <font>
        <b/>
        <i val="0"/>
        <strike val="0"/>
        <condense val="0"/>
        <extend val="0"/>
        <outline val="0"/>
        <shadow val="0"/>
        <u val="none"/>
        <vertAlign val="baseline"/>
        <sz val="9"/>
        <color theme="1"/>
        <name val="Tahoma"/>
        <family val="2"/>
        <scheme val="none"/>
      </font>
      <numFmt numFmtId="0" formatCode="General"/>
      <fill>
        <patternFill patternType="solid">
          <fgColor indexed="64"/>
          <bgColor theme="6"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4"/>
        <color theme="2"/>
        <name val="Tahoma"/>
        <family val="2"/>
        <scheme val="none"/>
      </font>
      <numFmt numFmtId="0" formatCode="General"/>
      <fill>
        <patternFill patternType="solid">
          <fgColor indexed="64"/>
          <bgColor theme="3" tint="-0.499984740745262"/>
        </patternFill>
      </fill>
      <alignment horizontal="general" vertical="center" textRotation="0" wrapText="0" indent="0" justifyLastLine="0" shrinkToFit="0" readingOrder="0"/>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top/>
        <bottom/>
      </border>
    </dxf>
    <dxf>
      <font>
        <strike val="0"/>
        <outline val="0"/>
        <shadow val="0"/>
        <vertAlign val="baseline"/>
        <name val="Tahoma"/>
        <family val="2"/>
        <scheme val="none"/>
      </font>
      <numFmt numFmtId="12" formatCode="&quot;₪&quot;\ #,##0.00;[Red]&quot;₪&quot;\ \-#,##0.00"/>
      <alignment horizontal="left" vertical="center" textRotation="0" wrapText="0" indent="0" justifyLastLine="0" shrinkToFit="0" readingOrder="1"/>
      <border diagonalUp="0" diagonalDown="0" outline="0">
        <left style="medium">
          <color theme="6" tint="0.39994506668294322"/>
        </left>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righ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right style="medium">
          <color theme="6" tint="0.39994506668294322"/>
        </right>
        <top style="medium">
          <color theme="6" tint="0.39994506668294322"/>
        </top>
        <bottom style="medium">
          <color theme="6" tint="0.39994506668294322"/>
        </bottom>
      </border>
    </dxf>
    <dxf>
      <font>
        <b/>
        <i val="0"/>
        <strike val="0"/>
        <outline val="0"/>
        <shadow val="0"/>
        <u val="none"/>
        <vertAlign val="baseline"/>
        <sz val="10"/>
        <color auto="1"/>
        <name val="Tahoma"/>
        <family val="2"/>
        <scheme val="none"/>
      </font>
      <fill>
        <patternFill patternType="solid">
          <fgColor indexed="64"/>
          <bgColor theme="6" tint="0.79998168889431442"/>
        </patternFill>
      </fill>
      <alignment horizontal="right" vertical="center" textRotation="0" wrapText="0" indent="1" justifyLastLine="0" shrinkToFit="0" readingOrder="2"/>
      <border diagonalUp="0" diagonalDown="0" outline="0">
        <left/>
        <right/>
        <top style="medium">
          <color theme="6" tint="0.39994506668294322"/>
        </top>
        <bottom style="medium">
          <color theme="6" tint="0.39994506668294322"/>
        </bottom>
      </border>
    </dxf>
    <dxf>
      <font>
        <strike val="0"/>
        <outline val="0"/>
        <shadow val="0"/>
        <vertAlign val="baseline"/>
        <name val="Tahoma"/>
        <family val="2"/>
        <scheme val="none"/>
      </font>
      <alignment horizontal="left" vertical="center" textRotation="0" wrapText="0" relativeIndent="1" justifyLastLine="0" shrinkToFit="0" readingOrder="0"/>
      <border diagonalUp="0" diagonalDown="0" outline="0">
        <left/>
        <right/>
        <top style="medium">
          <color theme="6" tint="0.39994506668294322"/>
        </top>
        <bottom style="medium">
          <color theme="6" tint="0.39994506668294322"/>
        </bottom>
      </border>
    </dxf>
    <dxf>
      <border>
        <top style="medium">
          <color theme="6" tint="0.39994506668294322"/>
        </top>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dxf>
    <dxf>
      <border>
        <bottom style="medium">
          <color theme="6" tint="0.39994506668294322"/>
        </bottom>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top/>
        <bottom/>
      </border>
    </dxf>
    <dxf>
      <font>
        <strike val="0"/>
        <outline val="0"/>
        <shadow val="0"/>
        <vertAlign val="baseline"/>
        <name val="Tahoma"/>
        <family val="2"/>
        <scheme val="none"/>
      </font>
      <numFmt numFmtId="12" formatCode="&quot;₪&quot;\ #,##0.00;[Red]&quot;₪&quot;\ \-#,##0.00"/>
      <alignment horizontal="left" vertical="center" textRotation="0" wrapText="0" indent="0" justifyLastLine="0" shrinkToFit="0" readingOrder="1"/>
      <border diagonalUp="0" diagonalDown="0" outline="0">
        <left style="medium">
          <color theme="6" tint="0.39994506668294322"/>
        </left>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right style="medium">
          <color theme="6" tint="0.39994506668294322"/>
        </right>
        <top style="medium">
          <color theme="6" tint="0.39994506668294322"/>
        </top>
        <bottom style="medium">
          <color theme="6" tint="0.39994506668294322"/>
        </bottom>
      </border>
    </dxf>
    <dxf>
      <font>
        <b/>
        <i val="0"/>
        <strike val="0"/>
        <outline val="0"/>
        <shadow val="0"/>
        <u val="none"/>
        <vertAlign val="baseline"/>
        <sz val="10"/>
        <color auto="1"/>
        <name val="Tahoma"/>
        <family val="2"/>
        <scheme val="none"/>
      </font>
      <fill>
        <patternFill patternType="solid">
          <fgColor indexed="64"/>
          <bgColor theme="6" tint="0.79998168889431442"/>
        </patternFill>
      </fill>
      <alignment horizontal="right" vertical="center" textRotation="0" wrapText="0" indent="2" justifyLastLine="0" shrinkToFit="0" readingOrder="2"/>
      <border diagonalUp="0" diagonalDown="0" outline="0">
        <left/>
        <right style="medium">
          <color theme="6" tint="0.39994506668294322"/>
        </right>
        <top/>
        <bottom/>
      </border>
    </dxf>
    <dxf>
      <font>
        <b/>
        <strike val="0"/>
        <outline val="0"/>
        <shadow val="0"/>
        <u val="none"/>
        <vertAlign val="baseline"/>
        <sz val="10"/>
        <color theme="0"/>
        <name val="Tahoma"/>
        <family val="2"/>
        <scheme val="none"/>
      </font>
      <fill>
        <patternFill patternType="solid">
          <fgColor indexed="64"/>
          <bgColor theme="3"/>
        </patternFill>
      </fill>
      <alignment horizontal="left" vertical="center" textRotation="0" wrapText="0" relativeIndent="-1"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border>
        <top style="medium">
          <color theme="6" tint="0.39994506668294322"/>
        </top>
      </border>
    </dxf>
    <dxf>
      <font>
        <strike val="0"/>
        <outline val="0"/>
        <shadow val="0"/>
        <vertAlign val="baseline"/>
        <name val="Tahoma"/>
        <family val="2"/>
        <scheme val="none"/>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dxf>
    <dxf>
      <border>
        <bottom style="medium">
          <color theme="6" tint="0.39994506668294322"/>
        </bottom>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top/>
        <bottom/>
      </border>
    </dxf>
    <dxf>
      <font>
        <strike val="0"/>
        <outline val="0"/>
        <shadow val="0"/>
        <vertAlign val="baseline"/>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4506668294322"/>
        </left>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auto="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right style="medium">
          <color theme="6" tint="0.39994506668294322"/>
        </right>
        <top style="medium">
          <color theme="6" tint="0.39994506668294322"/>
        </top>
        <bottom style="medium">
          <color theme="6" tint="0.39994506668294322"/>
        </bottom>
      </border>
    </dxf>
    <dxf>
      <font>
        <b/>
        <i val="0"/>
        <strike val="0"/>
        <outline val="0"/>
        <shadow val="0"/>
        <u val="none"/>
        <vertAlign val="baseline"/>
        <sz val="10"/>
        <color auto="1"/>
        <name val="Tahoma"/>
        <family val="2"/>
        <scheme val="none"/>
      </font>
      <fill>
        <patternFill patternType="solid">
          <fgColor indexed="64"/>
          <bgColor theme="6" tint="0.79998168889431442"/>
        </patternFill>
      </fill>
      <alignment horizontal="right" vertical="center" textRotation="0" wrapText="0" indent="1" justifyLastLine="0" shrinkToFit="0" readingOrder="2"/>
      <border diagonalUp="0" diagonalDown="0" outline="0">
        <left/>
        <right style="medium">
          <color theme="6" tint="0.39994506668294322"/>
        </right>
        <top/>
        <bottom/>
      </border>
    </dxf>
    <dxf>
      <font>
        <strike val="0"/>
        <outline val="0"/>
        <shadow val="0"/>
        <vertAlign val="baseline"/>
        <name val="Tahoma"/>
        <family val="2"/>
        <scheme val="none"/>
      </font>
      <alignment horizontal="left" vertical="center" textRotation="0" wrapText="0" relativeIndent="-1" justifyLastLine="0" shrinkToFit="0" readingOrder="0"/>
      <border diagonalUp="0" diagonalDown="0" outline="0">
        <left/>
        <right/>
        <top style="medium">
          <color theme="6" tint="0.39994506668294322"/>
        </top>
        <bottom style="medium">
          <color theme="6" tint="0.39994506668294322"/>
        </bottom>
      </border>
    </dxf>
    <dxf>
      <border>
        <top style="medium">
          <color theme="6" tint="0.39994506668294322"/>
        </top>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dxf>
    <dxf>
      <border>
        <bottom style="medium">
          <color theme="6" tint="0.39994506668294322"/>
        </bottom>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top/>
        <bottom/>
      </border>
    </dxf>
    <dxf>
      <font>
        <strike val="0"/>
        <outline val="0"/>
        <shadow val="0"/>
        <vertAlign val="baseline"/>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4506668294322"/>
        </left>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right style="medium">
          <color theme="6" tint="0.39994506668294322"/>
        </right>
        <top style="medium">
          <color theme="6" tint="0.39994506668294322"/>
        </top>
        <bottom style="medium">
          <color theme="6" tint="0.39994506668294322"/>
        </bottom>
      </border>
    </dxf>
    <dxf>
      <font>
        <b/>
        <i val="0"/>
        <strike val="0"/>
        <outline val="0"/>
        <shadow val="0"/>
        <u val="none"/>
        <vertAlign val="baseline"/>
        <sz val="10"/>
        <color auto="1"/>
        <name val="Tahoma"/>
        <family val="2"/>
        <scheme val="none"/>
      </font>
      <fill>
        <patternFill patternType="solid">
          <fgColor indexed="64"/>
          <bgColor theme="6" tint="0.79998168889431442"/>
        </patternFill>
      </fill>
      <alignment horizontal="right" vertical="center" textRotation="0" wrapText="0" indent="2" justifyLastLine="0" shrinkToFit="0" readingOrder="2"/>
      <border diagonalUp="0" diagonalDown="0" outline="0">
        <left/>
        <right style="medium">
          <color theme="6" tint="0.39994506668294322"/>
        </right>
        <top/>
        <bottom/>
      </border>
    </dxf>
    <dxf>
      <font>
        <b/>
        <strike val="0"/>
        <outline val="0"/>
        <shadow val="0"/>
        <u val="none"/>
        <vertAlign val="baseline"/>
        <sz val="10"/>
        <color theme="0"/>
        <name val="Tahoma"/>
        <family val="2"/>
        <scheme val="none"/>
      </font>
      <fill>
        <patternFill patternType="solid">
          <fgColor indexed="64"/>
          <bgColor theme="3"/>
        </patternFill>
      </fill>
      <alignment horizontal="left" vertical="center" textRotation="0" wrapText="0" relativeIndent="-1" justifyLastLine="0" shrinkToFit="0" readingOrder="0"/>
      <border diagonalUp="0" diagonalDown="0" outline="0">
        <left/>
        <right/>
        <top style="medium">
          <color theme="6" tint="0.39994506668294322"/>
        </top>
        <bottom style="medium">
          <color theme="6" tint="0.39994506668294322"/>
        </bottom>
      </border>
    </dxf>
    <dxf>
      <border>
        <top style="medium">
          <color theme="6" tint="0.39994506668294322"/>
        </top>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dxf>
    <dxf>
      <border>
        <bottom style="medium">
          <color theme="6" tint="0.39994506668294322"/>
        </bottom>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font>
        <b/>
        <i val="0"/>
        <strike val="0"/>
        <condense val="0"/>
        <extend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left style="medium">
          <color theme="6" tint="0.39997558519241921"/>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left style="medium">
          <color theme="6" tint="0.39997558519241921"/>
        </left>
        <right style="medium">
          <color theme="6" tint="0.39997558519241921"/>
        </right>
        <top style="medium">
          <color theme="6" tint="0.39997558519241921"/>
        </top>
        <bottom/>
      </border>
    </dxf>
    <dxf>
      <font>
        <b/>
        <i val="0"/>
        <strike val="0"/>
        <condense val="0"/>
        <extend val="0"/>
        <outline val="0"/>
        <shadow val="0"/>
        <u val="none"/>
        <vertAlign val="baseline"/>
        <sz val="9"/>
        <color theme="1"/>
        <name val="Tahoma"/>
        <family val="2"/>
        <scheme val="none"/>
      </font>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7558519241921"/>
        </left>
        <right/>
        <top style="medium">
          <color theme="6" tint="0.39997558519241921"/>
        </top>
        <bottom/>
      </border>
    </dxf>
    <dxf>
      <font>
        <b/>
        <i val="0"/>
        <strike val="0"/>
        <condense val="0"/>
        <extend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left/>
        <right style="medium">
          <color theme="6" tint="0.39997558519241921"/>
        </right>
        <top style="medium">
          <color theme="6" tint="0.39997558519241921"/>
        </top>
        <bottom/>
      </border>
    </dxf>
    <dxf>
      <font>
        <b/>
        <i val="0"/>
        <strike val="0"/>
        <condense val="0"/>
        <extend val="0"/>
        <outline val="0"/>
        <shadow val="0"/>
        <u val="none"/>
        <vertAlign val="baseline"/>
        <sz val="10"/>
        <color theme="0"/>
        <name val="Tahoma"/>
        <family val="2"/>
        <scheme val="none"/>
      </font>
      <fill>
        <patternFill patternType="solid">
          <fgColor indexed="64"/>
          <bgColor theme="3"/>
        </patternFill>
      </fill>
      <alignment horizontal="left" vertical="center" textRotation="0" wrapText="0" indent="1" justifyLastLine="0" shrinkToFit="0" readingOrder="0"/>
      <border diagonalUp="0" diagonalDown="0" outline="0">
        <left style="medium">
          <color theme="6" tint="0.39997558519241921"/>
        </left>
        <right/>
        <top style="medium">
          <color theme="6" tint="0.39997558519241921"/>
        </top>
        <bottom/>
      </border>
    </dxf>
    <dxf>
      <font>
        <b/>
        <i val="0"/>
        <strike val="0"/>
        <condense val="0"/>
        <extend val="0"/>
        <outline val="0"/>
        <shadow val="0"/>
        <u val="none"/>
        <vertAlign val="baseline"/>
        <sz val="10"/>
        <color theme="0"/>
        <name val="Tahoma"/>
        <family val="2"/>
        <scheme val="none"/>
      </font>
      <numFmt numFmtId="0" formatCode="General"/>
      <fill>
        <patternFill patternType="solid">
          <fgColor indexed="64"/>
          <bgColor theme="3"/>
        </patternFill>
      </fill>
      <alignment horizontal="left" vertical="center" textRotation="0" wrapText="0" relativeIndent="1" justifyLastLine="0" shrinkToFit="0" readingOrder="0"/>
      <border diagonalUp="0" diagonalDown="0" outline="0">
        <left/>
        <right style="medium">
          <color theme="6" tint="0.39997558519241921"/>
        </right>
        <top style="medium">
          <color theme="6" tint="0.39997558519241921"/>
        </top>
        <bottom/>
      </border>
    </dxf>
    <dxf>
      <border outline="0">
        <top style="medium">
          <color theme="6" tint="0.39997558519241921"/>
        </top>
      </border>
    </dxf>
    <dxf>
      <font>
        <strike val="0"/>
        <outline val="0"/>
        <shadow val="0"/>
        <vertAlign val="baseline"/>
        <name val="Tahoma"/>
        <family val="2"/>
        <scheme val="none"/>
      </font>
    </dxf>
    <dxf>
      <border outline="0">
        <left style="medium">
          <color theme="6" tint="0.39997558519241921"/>
        </left>
        <bottom style="medium">
          <color theme="6" tint="0.39997558519241921"/>
        </bottom>
      </border>
    </dxf>
    <dxf>
      <font>
        <b/>
        <i val="0"/>
        <strike val="0"/>
        <condense val="0"/>
        <extend val="0"/>
        <outline val="0"/>
        <shadow val="0"/>
        <u val="none"/>
        <vertAlign val="baseline"/>
        <sz val="9"/>
        <color theme="1"/>
        <name val="Tahoma"/>
        <family val="2"/>
        <scheme val="none"/>
      </font>
      <numFmt numFmtId="0" formatCode="General"/>
      <fill>
        <patternFill patternType="solid">
          <fgColor indexed="64"/>
          <bgColor theme="6" tint="0.79998168889431442"/>
        </patternFill>
      </fill>
      <alignment horizontal="right" vertical="center" textRotation="0" wrapText="0" indent="0" justifyLastLine="0" shrinkToFit="0" readingOrder="0"/>
    </dxf>
    <dxf>
      <border outline="0">
        <bottom style="medium">
          <color theme="6" tint="0.39997558519241921"/>
        </bottom>
      </border>
    </dxf>
    <dxf>
      <font>
        <b/>
        <i val="0"/>
        <strike val="0"/>
        <condense val="0"/>
        <extend val="0"/>
        <outline val="0"/>
        <shadow val="0"/>
        <u val="none"/>
        <vertAlign val="baseline"/>
        <sz val="10"/>
        <color theme="0"/>
        <name val="Tahoma"/>
        <family val="2"/>
        <scheme val="none"/>
      </font>
      <numFmt numFmtId="0" formatCode="General"/>
      <fill>
        <patternFill patternType="solid">
          <fgColor indexed="64"/>
          <bgColor theme="3" tint="-0.499984740745262"/>
        </patternFill>
      </fill>
      <alignment horizontal="general" vertical="center" textRotation="0" wrapText="0" indent="0" justifyLastLine="0" shrinkToFit="0" readingOrder="0"/>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top/>
        <bottom/>
      </border>
    </dxf>
    <dxf>
      <font>
        <strike val="0"/>
        <outline val="0"/>
        <shadow val="0"/>
        <u val="none"/>
        <vertAlign val="baseline"/>
        <sz val="9"/>
        <color theme="1"/>
        <name val="Tahoma"/>
        <family val="2"/>
        <scheme val="none"/>
      </font>
      <numFmt numFmtId="12" formatCode="&quot;₪&quot;\ #,##0.00;[Red]&quot;₪&quot;\ \-#,##0.00"/>
      <alignment horizontal="left" vertical="center" textRotation="0" wrapText="0" indent="0" justifyLastLine="0" shrinkToFit="0" readingOrder="1"/>
      <border diagonalUp="0" diagonalDown="0" outline="0">
        <left style="medium">
          <color theme="6" tint="0.39994506668294322"/>
        </left>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right style="medium">
          <color theme="6" tint="0.39994506668294322"/>
        </right>
        <top style="medium">
          <color theme="6" tint="0.39994506668294322"/>
        </top>
        <bottom style="medium">
          <color theme="6" tint="0.39994506668294322"/>
        </bottom>
      </border>
    </dxf>
    <dxf>
      <font>
        <b/>
        <i val="0"/>
        <strike val="0"/>
        <outline val="0"/>
        <shadow val="0"/>
        <u val="none"/>
        <vertAlign val="baseline"/>
        <sz val="10"/>
        <color theme="1"/>
        <name val="Tahoma"/>
        <family val="2"/>
        <scheme val="none"/>
      </font>
      <fill>
        <patternFill patternType="solid">
          <fgColor indexed="64"/>
          <bgColor theme="6" tint="0.79998168889431442"/>
        </patternFill>
      </fill>
      <alignment horizontal="right" vertical="center" textRotation="0" wrapText="0" indent="1" justifyLastLine="0" shrinkToFit="0" readingOrder="2"/>
      <border diagonalUp="0" diagonalDown="0" outline="0">
        <left/>
        <right style="medium">
          <color theme="6" tint="0.39991454817346722"/>
        </right>
        <top style="medium">
          <color theme="6" tint="0.39994506668294322"/>
        </top>
        <bottom/>
      </border>
    </dxf>
    <dxf>
      <font>
        <b/>
        <strike val="0"/>
        <outline val="0"/>
        <shadow val="0"/>
        <u val="none"/>
        <vertAlign val="baseline"/>
        <sz val="10"/>
        <color theme="0"/>
        <name val="Tahoma"/>
        <family val="2"/>
        <scheme val="none"/>
      </font>
      <fill>
        <patternFill patternType="solid">
          <fgColor indexed="64"/>
          <bgColor theme="3"/>
        </patternFill>
      </fill>
      <alignment horizontal="left" vertical="center" textRotation="0" wrapText="0" relativeIndent="1" justifyLastLine="0" shrinkToFit="0" readingOrder="0"/>
      <border diagonalUp="0" diagonalDown="0" outline="0">
        <left/>
        <right/>
        <top style="medium">
          <color theme="6" tint="0.39994506668294322"/>
        </top>
        <bottom style="medium">
          <color theme="6" tint="0.39994506668294322"/>
        </bottom>
      </border>
    </dxf>
    <dxf>
      <border>
        <top style="medium">
          <color theme="6" tint="0.39994506668294322"/>
        </top>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dxf>
    <dxf>
      <border>
        <bottom style="medium">
          <color theme="6" tint="0.39994506668294322"/>
        </bottom>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top/>
        <bottom/>
      </border>
    </dxf>
    <dxf>
      <font>
        <strike val="0"/>
        <outline val="0"/>
        <shadow val="0"/>
        <vertAlign val="baseline"/>
        <name val="Tahoma"/>
        <family val="2"/>
        <scheme val="none"/>
      </font>
      <numFmt numFmtId="12" formatCode="&quot;₪&quot;\ #,##0.00;[Red]&quot;₪&quot;\ \-#,##0.00"/>
      <alignment horizontal="left" vertical="center" textRotation="0" wrapText="0" indent="0" justifyLastLine="0" shrinkToFit="0" readingOrder="1"/>
      <border diagonalUp="0" diagonalDown="0" outline="0">
        <left style="medium">
          <color theme="6" tint="0.39994506668294322"/>
        </left>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right style="medium">
          <color theme="6" tint="0.39994506668294322"/>
        </right>
        <top style="medium">
          <color theme="6" tint="0.39994506668294322"/>
        </top>
        <bottom style="medium">
          <color theme="6" tint="0.39994506668294322"/>
        </bottom>
      </border>
    </dxf>
    <dxf>
      <font>
        <b/>
        <i val="0"/>
        <strike val="0"/>
        <outline val="0"/>
        <shadow val="0"/>
        <u val="none"/>
        <vertAlign val="baseline"/>
        <sz val="10"/>
        <color theme="1"/>
        <name val="Tahoma"/>
        <family val="2"/>
        <scheme val="none"/>
      </font>
      <fill>
        <patternFill patternType="solid">
          <fgColor indexed="64"/>
          <bgColor theme="6" tint="0.79998168889431442"/>
        </patternFill>
      </fill>
      <alignment horizontal="right" vertical="center" textRotation="0" wrapText="0" indent="2" justifyLastLine="0" shrinkToFit="0" readingOrder="2"/>
      <border diagonalUp="0" diagonalDown="0" outline="0">
        <left/>
        <right style="medium">
          <color theme="6" tint="0.39991454817346722"/>
        </right>
        <top style="medium">
          <color theme="6" tint="0.39994506668294322"/>
        </top>
        <bottom/>
      </border>
    </dxf>
    <dxf>
      <font>
        <b/>
        <strike val="0"/>
        <outline val="0"/>
        <shadow val="0"/>
        <u val="none"/>
        <vertAlign val="baseline"/>
        <sz val="10"/>
        <color theme="0"/>
        <name val="Tahoma"/>
        <family val="2"/>
        <scheme val="none"/>
      </font>
      <fill>
        <patternFill patternType="solid">
          <fgColor indexed="64"/>
          <bgColor theme="3"/>
        </patternFill>
      </fill>
      <alignment horizontal="left" vertical="center" textRotation="0" wrapText="0" relativeIndent="-1" justifyLastLine="0" shrinkToFit="0" readingOrder="0"/>
      <border diagonalUp="0" diagonalDown="0" outline="0">
        <left/>
        <right/>
        <top style="medium">
          <color theme="6" tint="0.39994506668294322"/>
        </top>
        <bottom style="medium">
          <color theme="6" tint="0.39994506668294322"/>
        </bottom>
      </border>
    </dxf>
    <dxf>
      <border>
        <top style="medium">
          <color theme="6" tint="0.39994506668294322"/>
        </top>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dxf>
    <dxf>
      <border>
        <bottom style="medium">
          <color theme="6" tint="0.39994506668294322"/>
        </bottom>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4506668294322"/>
        </left>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vertAlign val="baseline"/>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right style="medium">
          <color theme="6" tint="0.39994506668294322"/>
        </right>
        <top style="medium">
          <color theme="6" tint="0.39994506668294322"/>
        </top>
        <bottom style="medium">
          <color theme="6" tint="0.39994506668294322"/>
        </bottom>
      </border>
    </dxf>
    <dxf>
      <font>
        <b/>
        <i val="0"/>
        <strike val="0"/>
        <outline val="0"/>
        <shadow val="0"/>
        <u val="none"/>
        <vertAlign val="baseline"/>
        <sz val="10"/>
        <color theme="1"/>
        <name val="Tahoma"/>
        <family val="2"/>
        <scheme val="none"/>
      </font>
      <fill>
        <patternFill patternType="solid">
          <fgColor indexed="64"/>
          <bgColor theme="6" tint="0.79998168889431442"/>
        </patternFill>
      </fill>
      <alignment horizontal="right" vertical="center" textRotation="0" wrapText="0" indent="2" justifyLastLine="0" shrinkToFit="0" readingOrder="2"/>
      <border diagonalUp="0" diagonalDown="0" outline="0">
        <left/>
        <right style="medium">
          <color theme="6" tint="0.39991454817346722"/>
        </right>
        <top style="medium">
          <color theme="6" tint="0.39994506668294322"/>
        </top>
        <bottom/>
      </border>
    </dxf>
    <dxf>
      <font>
        <b/>
        <strike val="0"/>
        <outline val="0"/>
        <shadow val="0"/>
        <u val="none"/>
        <vertAlign val="baseline"/>
        <sz val="10"/>
        <color theme="0"/>
        <name val="Tahoma"/>
        <family val="2"/>
        <scheme val="none"/>
      </font>
      <fill>
        <patternFill patternType="solid">
          <fgColor indexed="64"/>
          <bgColor theme="3"/>
        </patternFill>
      </fill>
      <alignment horizontal="left" vertical="center" textRotation="0" wrapText="0" relativeIndent="-1" justifyLastLine="0" shrinkToFit="0" readingOrder="0"/>
      <border diagonalUp="0" diagonalDown="0" outline="0">
        <left/>
        <right/>
        <top style="medium">
          <color theme="6" tint="0.39994506668294322"/>
        </top>
        <bottom style="medium">
          <color theme="6" tint="0.39994506668294322"/>
        </bottom>
      </border>
    </dxf>
    <dxf>
      <border>
        <top style="medium">
          <color theme="6" tint="0.39994506668294322"/>
        </top>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vertAlign val="baseline"/>
        <name val="Tahoma"/>
        <family val="2"/>
        <scheme val="none"/>
      </font>
    </dxf>
    <dxf>
      <border>
        <bottom style="medium">
          <color theme="6" tint="0.39994506668294322"/>
        </bottom>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font>
        <b val="0"/>
        <i val="0"/>
        <strike val="0"/>
        <condense val="0"/>
        <extend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6" tint="0.79998168889431442"/>
        </patternFill>
      </fill>
      <alignment horizontal="left" vertical="center" textRotation="0" wrapText="0" indent="0" justifyLastLine="0" shrinkToFit="0" readingOrder="1"/>
      <border diagonalUp="0" diagonalDown="0" outline="0">
        <left style="medium">
          <color theme="6" tint="0.39994506668294322"/>
        </left>
        <right/>
        <top style="medium">
          <color theme="6" tint="0.39994506668294322"/>
        </top>
        <bottom style="medium">
          <color theme="6" tint="0.39994506668294322"/>
        </bottom>
      </border>
    </dxf>
    <dxf>
      <font>
        <b val="0"/>
        <i val="0"/>
        <strike val="0"/>
        <condense val="0"/>
        <extend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condense val="0"/>
        <extend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condense val="0"/>
        <extend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condense val="0"/>
        <extend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condense val="0"/>
        <extend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condense val="0"/>
        <extend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condense val="0"/>
        <extend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condense val="0"/>
        <extend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condense val="0"/>
        <extend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condense val="0"/>
        <extend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condense val="0"/>
        <extend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condense val="0"/>
        <extend val="0"/>
        <outline val="0"/>
        <shadow val="0"/>
        <u val="none"/>
        <vertAlign val="baseline"/>
        <sz val="9"/>
        <color theme="1"/>
        <name val="Tahoma"/>
        <family val="2"/>
        <scheme val="none"/>
      </font>
      <numFmt numFmtId="166" formatCode="&quot;₪&quot;\ #,##0.00;[Red]&quot;₪&quot;\ #,##0.00"/>
      <fill>
        <patternFill patternType="solid">
          <fgColor indexed="64"/>
          <bgColor theme="6" tint="0.79998168889431442"/>
        </patternFill>
      </fill>
      <alignment horizontal="left" vertical="center" textRotation="0" wrapText="0" indent="0" justifyLastLine="0" shrinkToFit="0" readingOrder="2"/>
      <border diagonalUp="0" diagonalDown="0" outline="0">
        <left/>
        <right style="medium">
          <color theme="6" tint="0.39994506668294322"/>
        </right>
        <top/>
        <bottom/>
      </border>
    </dxf>
    <dxf>
      <font>
        <strike val="0"/>
        <outline val="0"/>
        <shadow val="0"/>
        <u val="none"/>
        <vertAlign val="baseline"/>
        <sz val="9"/>
        <color theme="1"/>
        <name val="Tahoma"/>
        <family val="2"/>
        <scheme val="none"/>
      </font>
      <numFmt numFmtId="12" formatCode="&quot;₪&quot;\ #,##0.00;[Red]&quot;₪&quot;\ \-#,##0.00"/>
      <fill>
        <patternFill patternType="solid">
          <fgColor indexed="64"/>
          <bgColor theme="0"/>
        </patternFill>
      </fill>
      <alignment horizontal="left" vertical="center" textRotation="0" wrapText="0" indent="0" justifyLastLine="0" shrinkToFit="0" readingOrder="1"/>
      <border diagonalUp="0" diagonalDown="0" outline="0">
        <left/>
        <right style="medium">
          <color theme="6" tint="0.39994506668294322"/>
        </right>
        <top style="medium">
          <color theme="6" tint="0.39994506668294322"/>
        </top>
        <bottom style="medium">
          <color theme="6" tint="0.39994506668294322"/>
        </bottom>
      </border>
    </dxf>
    <dxf>
      <font>
        <b/>
        <i val="0"/>
        <strike val="0"/>
        <condense val="0"/>
        <extend val="0"/>
        <outline val="0"/>
        <shadow val="0"/>
        <u val="none"/>
        <vertAlign val="baseline"/>
        <sz val="10"/>
        <color theme="1"/>
        <name val="Tahoma"/>
        <family val="2"/>
        <scheme val="none"/>
      </font>
      <fill>
        <patternFill patternType="solid">
          <fgColor indexed="64"/>
          <bgColor theme="6" tint="0.79998168889431442"/>
        </patternFill>
      </fill>
      <alignment horizontal="right" vertical="center" textRotation="0" wrapText="0" indent="2" justifyLastLine="0" shrinkToFit="0" readingOrder="2"/>
      <border diagonalUp="0" diagonalDown="0" outline="0">
        <left style="medium">
          <color theme="6" tint="0.39988402966399123"/>
        </left>
        <right style="medium">
          <color theme="6" tint="0.39985351115451523"/>
        </right>
        <top style="medium">
          <color theme="6" tint="0.39994506668294322"/>
        </top>
        <bottom style="medium">
          <color theme="6" tint="0.39985351115451523"/>
        </bottom>
      </border>
    </dxf>
    <dxf>
      <font>
        <b/>
        <strike val="0"/>
        <outline val="0"/>
        <shadow val="0"/>
        <u val="none"/>
        <vertAlign val="baseline"/>
        <sz val="10"/>
        <color theme="0"/>
        <name val="Tahoma"/>
        <family val="2"/>
        <scheme val="none"/>
      </font>
      <fill>
        <patternFill patternType="solid">
          <fgColor indexed="64"/>
          <bgColor theme="3"/>
        </patternFill>
      </fill>
      <alignment horizontal="left" vertical="center" textRotation="0" wrapText="0" relativeIndent="-1" justifyLastLine="0" shrinkToFit="0" readingOrder="0"/>
      <border diagonalUp="0" diagonalDown="0" outline="0">
        <left style="medium">
          <color theme="6" tint="0.39988402966399123"/>
        </left>
        <right/>
        <top style="medium">
          <color theme="6" tint="0.39994506668294322"/>
        </top>
        <bottom style="medium">
          <color theme="6" tint="0.39994506668294322"/>
        </bottom>
      </border>
    </dxf>
    <dxf>
      <border>
        <top style="medium">
          <color theme="6" tint="0.39994506668294322"/>
        </top>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border diagonalUp="0" diagonalDown="0">
        <left/>
        <right style="medium">
          <color theme="6" tint="0.39994506668294322"/>
        </right>
        <top/>
        <bottom/>
      </border>
    </dxf>
    <dxf>
      <font>
        <strike val="0"/>
        <outline val="0"/>
        <shadow val="0"/>
        <vertAlign val="baseline"/>
        <name val="Tahoma"/>
        <family val="2"/>
        <scheme val="none"/>
      </font>
    </dxf>
    <dxf>
      <border>
        <bottom style="medium">
          <color theme="6" tint="0.39994506668294322"/>
        </bottom>
      </border>
    </dxf>
    <dxf>
      <font>
        <strike val="0"/>
        <outline val="0"/>
        <shadow val="0"/>
        <vertAlign val="baseline"/>
        <name val="Tahoma"/>
        <family val="2"/>
        <scheme val="none"/>
      </font>
      <border diagonalUp="0" diagonalDown="0" outline="0">
        <left style="medium">
          <color theme="6" tint="0.39994506668294322"/>
        </left>
        <right style="medium">
          <color theme="6" tint="0.39994506668294322"/>
        </right>
        <top/>
        <bottom/>
      </border>
    </dxf>
    <dxf>
      <font>
        <color auto="1"/>
      </font>
      <fill>
        <patternFill patternType="none">
          <bgColor auto="1"/>
        </patternFill>
      </fill>
      <border diagonalUp="0" diagonalDown="0">
        <left/>
        <right/>
        <top/>
        <bottom/>
        <vertical/>
        <horizontal style="medium">
          <color theme="6" tint="0.39994506668294322"/>
        </horizontal>
      </border>
    </dxf>
    <dxf>
      <font>
        <color theme="1"/>
      </font>
      <fill>
        <patternFill patternType="solid">
          <fgColor theme="0" tint="-0.14993743705557422"/>
          <bgColor theme="0"/>
        </patternFill>
      </fill>
      <border diagonalUp="0" diagonalDown="0">
        <left/>
        <right/>
        <top/>
        <bottom/>
        <vertical/>
        <horizontal style="medium">
          <color theme="6" tint="0.39994506668294322"/>
        </horizontal>
      </border>
    </dxf>
    <dxf>
      <font>
        <b val="0"/>
        <i val="0"/>
        <color theme="1"/>
      </font>
      <fill>
        <patternFill>
          <bgColor theme="6" tint="0.79998168889431442"/>
        </patternFill>
      </fill>
      <border diagonalUp="0" diagonalDown="0">
        <left/>
        <right/>
        <top/>
        <bottom/>
        <vertical/>
        <horizontal style="medium">
          <color theme="6" tint="0.39994506668294322"/>
        </horizontal>
      </border>
    </dxf>
    <dxf>
      <font>
        <color theme="0"/>
      </font>
      <fill>
        <patternFill>
          <fgColor theme="3"/>
          <bgColor theme="3"/>
        </patternFill>
      </fill>
      <border diagonalUp="0" diagonalDown="0">
        <left/>
        <right/>
        <top/>
        <bottom/>
        <vertical/>
        <horizontal style="medium">
          <color theme="6" tint="0.39994506668294322"/>
        </horizontal>
      </border>
    </dxf>
    <dxf>
      <font>
        <b/>
        <i val="0"/>
        <color theme="1"/>
      </font>
      <fill>
        <patternFill>
          <bgColor theme="6" tint="0.79998168889431442"/>
        </patternFill>
      </fill>
      <border diagonalUp="0" diagonalDown="0">
        <left/>
        <right/>
        <top style="medium">
          <color theme="6" tint="0.39994506668294322"/>
        </top>
        <bottom/>
        <vertical style="medium">
          <color theme="6" tint="0.39991454817346722"/>
        </vertical>
        <horizontal/>
      </border>
    </dxf>
    <dxf>
      <font>
        <color theme="6" tint="0.39994506668294322"/>
      </font>
      <fill>
        <patternFill>
          <bgColor theme="6" tint="0.39994506668294322"/>
        </patternFill>
      </fill>
      <border diagonalUp="0" diagonalDown="0">
        <left/>
        <right/>
        <top/>
        <bottom style="medium">
          <color theme="6" tint="0.39994506668294322"/>
        </bottom>
        <vertical/>
        <horizontal/>
      </border>
    </dxf>
    <dxf>
      <font>
        <b val="0"/>
        <i val="0"/>
        <color theme="1"/>
      </font>
      <fill>
        <patternFill>
          <bgColor theme="0"/>
        </patternFill>
      </fill>
      <border diagonalUp="0" diagonalDown="0">
        <left/>
        <right/>
        <top style="medium">
          <color theme="6" tint="0.39994506668294322"/>
        </top>
        <bottom style="medium">
          <color theme="6" tint="0.39994506668294322"/>
        </bottom>
        <vertical style="medium">
          <color theme="6" tint="0.39994506668294322"/>
        </vertical>
        <horizontal style="medium">
          <color theme="6" tint="0.39994506668294322"/>
        </horizontal>
      </border>
    </dxf>
  </dxfs>
  <tableStyles count="1" defaultPivotStyle="PivotStyleLight16">
    <tableStyle name="פירוט ההוצאות המשוערות בטבלה 2" pivot="0" count="7" xr9:uid="{00000000-0011-0000-FFFF-FFFF00000000}">
      <tableStyleElement type="wholeTable" dxfId="531"/>
      <tableStyleElement type="headerRow" dxfId="530"/>
      <tableStyleElement type="totalRow" dxfId="529"/>
      <tableStyleElement type="firstColumn" dxfId="528"/>
      <tableStyleElement type="lastColumn" dxfId="527"/>
      <tableStyleElement type="firstRowStripe" size="9" dxfId="526"/>
      <tableStyleElement type="firstColumnStripe" dxfId="525"/>
    </tableStyle>
  </tableStyles>
  <colors>
    <mruColors>
      <color rgb="FF3B893D"/>
      <color rgb="FF99CCFF"/>
      <color rgb="FFFFCC99"/>
      <color rgb="FF80008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a:t>הוצאות חודשיות</a:t>
            </a:r>
          </a:p>
        </c:rich>
      </c:tx>
      <c:layout>
        <c:manualLayout>
          <c:xMode val="edge"/>
          <c:yMode val="edge"/>
          <c:x val="0.80126183777851046"/>
          <c:y val="8.903231126127000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1"/>
          <c:order val="1"/>
          <c:tx>
            <c:v>מתוכננות</c:v>
          </c:tx>
          <c:spPr>
            <a:solidFill>
              <a:schemeClr val="accent2"/>
            </a:solidFill>
            <a:ln>
              <a:noFill/>
            </a:ln>
            <a:effectLst/>
          </c:spPr>
          <c:invertIfNegative val="0"/>
          <c:val>
            <c:numRef>
              <c:f>'הוצאות מתוכננות'!$C$36:$N$36</c:f>
              <c:numCache>
                <c:formatCode>"₪"#,##0.00_);[Red]\("₪"#,##0.00\)</c:formatCode>
                <c:ptCount val="12"/>
                <c:pt idx="0">
                  <c:v>131420</c:v>
                </c:pt>
                <c:pt idx="1">
                  <c:v>126820</c:v>
                </c:pt>
                <c:pt idx="2">
                  <c:v>126820</c:v>
                </c:pt>
                <c:pt idx="3">
                  <c:v>137695</c:v>
                </c:pt>
                <c:pt idx="4">
                  <c:v>129695</c:v>
                </c:pt>
                <c:pt idx="5">
                  <c:v>130495</c:v>
                </c:pt>
                <c:pt idx="6">
                  <c:v>134695</c:v>
                </c:pt>
                <c:pt idx="7">
                  <c:v>138918</c:v>
                </c:pt>
                <c:pt idx="8">
                  <c:v>135918</c:v>
                </c:pt>
                <c:pt idx="9">
                  <c:v>140918</c:v>
                </c:pt>
                <c:pt idx="10">
                  <c:v>136218</c:v>
                </c:pt>
                <c:pt idx="11">
                  <c:v>140018</c:v>
                </c:pt>
              </c:numCache>
            </c:numRef>
          </c:val>
          <c:extLst>
            <c:ext xmlns:c16="http://schemas.microsoft.com/office/drawing/2014/chart" uri="{C3380CC4-5D6E-409C-BE32-E72D297353CC}">
              <c16:uniqueId val="{00000000-135D-4DB7-A511-401DE3785DC9}"/>
            </c:ext>
          </c:extLst>
        </c:ser>
        <c:ser>
          <c:idx val="2"/>
          <c:order val="2"/>
          <c:tx>
            <c:v>בפועל</c:v>
          </c:tx>
          <c:spPr>
            <a:solidFill>
              <a:schemeClr val="accent4">
                <a:alpha val="25000"/>
              </a:schemeClr>
            </a:solidFill>
            <a:ln>
              <a:noFill/>
            </a:ln>
            <a:effectLst/>
          </c:spPr>
          <c:invertIfNegative val="0"/>
          <c:val>
            <c:numRef>
              <c:f>'הוצאות בפועל'!$C$36:$N$36</c:f>
              <c:numCache>
                <c:formatCode>"₪"#,##0.00_);[Red]\("₪"#,##0.00\)</c:formatCode>
                <c:ptCount val="12"/>
                <c:pt idx="0">
                  <c:v>129682</c:v>
                </c:pt>
                <c:pt idx="1">
                  <c:v>127804</c:v>
                </c:pt>
                <c:pt idx="2">
                  <c:v>125565</c:v>
                </c:pt>
                <c:pt idx="3">
                  <c:v>137394</c:v>
                </c:pt>
                <c:pt idx="4">
                  <c:v>128255</c:v>
                </c:pt>
                <c:pt idx="5">
                  <c:v>134239</c:v>
                </c:pt>
                <c:pt idx="6">
                  <c:v>0</c:v>
                </c:pt>
                <c:pt idx="7">
                  <c:v>0</c:v>
                </c:pt>
                <c:pt idx="8">
                  <c:v>0</c:v>
                </c:pt>
                <c:pt idx="9">
                  <c:v>0</c:v>
                </c:pt>
                <c:pt idx="10">
                  <c:v>0</c:v>
                </c:pt>
                <c:pt idx="11">
                  <c:v>0</c:v>
                </c:pt>
              </c:numCache>
            </c:numRef>
          </c:val>
          <c:extLst>
            <c:ext xmlns:c16="http://schemas.microsoft.com/office/drawing/2014/chart" uri="{C3380CC4-5D6E-409C-BE32-E72D297353CC}">
              <c16:uniqueId val="{00000001-135D-4DB7-A511-401DE3785DC9}"/>
            </c:ext>
          </c:extLst>
        </c:ser>
        <c:dLbls>
          <c:showLegendKey val="0"/>
          <c:showVal val="0"/>
          <c:showCatName val="0"/>
          <c:showSerName val="0"/>
          <c:showPercent val="0"/>
          <c:showBubbleSize val="0"/>
        </c:dLbls>
        <c:gapWidth val="100"/>
        <c:axId val="362146616"/>
        <c:axId val="362147008"/>
      </c:barChart>
      <c:lineChart>
        <c:grouping val="standard"/>
        <c:varyColors val="0"/>
        <c:ser>
          <c:idx val="0"/>
          <c:order val="0"/>
          <c:tx>
            <c:v>שונות</c:v>
          </c:tx>
          <c:spPr>
            <a:ln w="28575" cap="rnd">
              <a:solidFill>
                <a:schemeClr val="accent3">
                  <a:shade val="65000"/>
                </a:schemeClr>
              </a:solidFill>
              <a:round/>
            </a:ln>
            <a:effectLst/>
          </c:spPr>
          <c:marker>
            <c:symbol val="none"/>
          </c:marker>
          <c:val>
            <c:numRef>
              <c:f>'שונות הוצאות'!$C$36:$N$36</c:f>
              <c:numCache>
                <c:formatCode>"₪"#,##0.00_);[Red]\("₪"#,##0.00\)</c:formatCode>
                <c:ptCount val="12"/>
                <c:pt idx="0">
                  <c:v>1738</c:v>
                </c:pt>
                <c:pt idx="1">
                  <c:v>-984</c:v>
                </c:pt>
                <c:pt idx="2">
                  <c:v>1255</c:v>
                </c:pt>
                <c:pt idx="3">
                  <c:v>301</c:v>
                </c:pt>
                <c:pt idx="4">
                  <c:v>1440</c:v>
                </c:pt>
                <c:pt idx="5">
                  <c:v>-3744</c:v>
                </c:pt>
                <c:pt idx="6">
                  <c:v>134695</c:v>
                </c:pt>
                <c:pt idx="7">
                  <c:v>138918</c:v>
                </c:pt>
                <c:pt idx="8">
                  <c:v>135918</c:v>
                </c:pt>
                <c:pt idx="9">
                  <c:v>140918</c:v>
                </c:pt>
                <c:pt idx="10">
                  <c:v>136218</c:v>
                </c:pt>
                <c:pt idx="11">
                  <c:v>140018</c:v>
                </c:pt>
              </c:numCache>
            </c:numRef>
          </c:val>
          <c:smooth val="0"/>
          <c:extLst>
            <c:ext xmlns:c16="http://schemas.microsoft.com/office/drawing/2014/chart" uri="{C3380CC4-5D6E-409C-BE32-E72D297353CC}">
              <c16:uniqueId val="{00000002-135D-4DB7-A511-401DE3785DC9}"/>
            </c:ext>
          </c:extLst>
        </c:ser>
        <c:dLbls>
          <c:showLegendKey val="0"/>
          <c:showVal val="0"/>
          <c:showCatName val="0"/>
          <c:showSerName val="0"/>
          <c:showPercent val="0"/>
          <c:showBubbleSize val="0"/>
        </c:dLbls>
        <c:marker val="1"/>
        <c:smooth val="0"/>
        <c:axId val="362146616"/>
        <c:axId val="362147008"/>
      </c:lineChart>
      <c:catAx>
        <c:axId val="362146616"/>
        <c:scaling>
          <c:orientation val="maxMin"/>
        </c:scaling>
        <c:delete val="0"/>
        <c:axPos val="b"/>
        <c:title>
          <c:tx>
            <c:rich>
              <a:bodyPr rot="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a:t>חודש</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en-US"/>
          </a:p>
        </c:txPr>
        <c:crossAx val="362147008"/>
        <c:crosses val="autoZero"/>
        <c:auto val="1"/>
        <c:lblAlgn val="ctr"/>
        <c:lblOffset val="100"/>
        <c:noMultiLvlLbl val="0"/>
      </c:catAx>
      <c:valAx>
        <c:axId val="362147008"/>
        <c:scaling>
          <c:orientation val="minMax"/>
        </c:scaling>
        <c:delete val="0"/>
        <c:axPos val="r"/>
        <c:majorGridlines>
          <c:spPr>
            <a:ln w="3175" cap="flat" cmpd="sng" algn="ctr">
              <a:solidFill>
                <a:schemeClr val="bg1">
                  <a:lumMod val="75000"/>
                  <a:alpha val="2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a:t>הוצאות</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quot;₪&quot;\ #,##0_);[Red]\(&quot;₪&quot;\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en-US"/>
          </a:p>
        </c:txPr>
        <c:crossAx val="362146616"/>
        <c:crosses val="autoZero"/>
        <c:crossBetween val="between"/>
        <c:dispUnits>
          <c:builtInUnit val="tenThousands"/>
          <c:dispUnitsLbl>
            <c:layout>
              <c:manualLayout>
                <c:xMode val="edge"/>
                <c:yMode val="edge"/>
                <c:x val="0.92853449603491367"/>
                <c:y val="0.11317100328988393"/>
              </c:manualLayout>
            </c:layout>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en-US"/>
              </a:p>
            </c:txPr>
          </c:dispUnitsLbl>
        </c:dispUnits>
      </c:valAx>
      <c:spPr>
        <a:noFill/>
        <a:ln>
          <a:noFill/>
        </a:ln>
        <a:effectLst/>
      </c:spPr>
    </c:plotArea>
    <c:legend>
      <c:legendPos val="t"/>
      <c:layout>
        <c:manualLayout>
          <c:xMode val="edge"/>
          <c:yMode val="edge"/>
          <c:x val="0.65443596754181987"/>
          <c:y val="5.3074323107069506E-2"/>
          <c:w val="0.33878368215294763"/>
          <c:h val="3.579789723106797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47698573031214"/>
          <c:y val="0.17330539881195353"/>
          <c:w val="0.7828463396635198"/>
          <c:h val="0.71853463513379401"/>
        </c:manualLayout>
      </c:layout>
      <c:barChart>
        <c:barDir val="bar"/>
        <c:grouping val="clustered"/>
        <c:varyColors val="0"/>
        <c:ser>
          <c:idx val="1"/>
          <c:order val="0"/>
          <c:tx>
            <c:strRef>
              <c:f>'ניתוח הוצאות'!$C$5</c:f>
              <c:strCache>
                <c:ptCount val="1"/>
                <c:pt idx="0">
                  <c:v>הוצאות מתוכננות</c:v>
                </c:pt>
              </c:strCache>
            </c:strRef>
          </c:tx>
          <c:spPr>
            <a:solidFill>
              <a:schemeClr val="accent2"/>
            </a:solidFill>
            <a:ln w="19050">
              <a:noFill/>
            </a:ln>
            <a:effectLst/>
          </c:spPr>
          <c:invertIfNegative val="0"/>
          <c:cat>
            <c:strRef>
              <c:f>'ניתוח הוצאות'!$B$6:$B$9</c:f>
              <c:strCache>
                <c:ptCount val="4"/>
                <c:pt idx="0">
                  <c:v>עלויות עובדים</c:v>
                </c:pt>
                <c:pt idx="1">
                  <c:v>עלויות משרדיות</c:v>
                </c:pt>
                <c:pt idx="2">
                  <c:v>עלויות שיווק</c:v>
                </c:pt>
                <c:pt idx="3">
                  <c:v>הדרכה/נסיעה</c:v>
                </c:pt>
              </c:strCache>
            </c:strRef>
          </c:cat>
          <c:val>
            <c:numRef>
              <c:f>'ניתוח הוצאות'!$C$6:$C$9</c:f>
              <c:numCache>
                <c:formatCode>"₪"#,##0.00_);[Red]\("₪"#,##0.00\)</c:formatCode>
                <c:ptCount val="4"/>
                <c:pt idx="0">
                  <c:v>1355090</c:v>
                </c:pt>
                <c:pt idx="1">
                  <c:v>138740</c:v>
                </c:pt>
                <c:pt idx="2">
                  <c:v>67800</c:v>
                </c:pt>
                <c:pt idx="3">
                  <c:v>48000</c:v>
                </c:pt>
              </c:numCache>
            </c:numRef>
          </c:val>
          <c:extLst>
            <c:ext xmlns:c16="http://schemas.microsoft.com/office/drawing/2014/chart" uri="{C3380CC4-5D6E-409C-BE32-E72D297353CC}">
              <c16:uniqueId val="{00000009-F485-485F-B818-D5944CB69AAB}"/>
            </c:ext>
          </c:extLst>
        </c:ser>
        <c:ser>
          <c:idx val="0"/>
          <c:order val="1"/>
          <c:tx>
            <c:strRef>
              <c:f>'ניתוח הוצאות'!$D$5</c:f>
              <c:strCache>
                <c:ptCount val="1"/>
                <c:pt idx="0">
                  <c:v>הוצאות בפועל</c:v>
                </c:pt>
              </c:strCache>
            </c:strRef>
          </c:tx>
          <c:spPr>
            <a:solidFill>
              <a:schemeClr val="accent4"/>
            </a:solidFill>
            <a:ln w="19050">
              <a:noFill/>
            </a:ln>
            <a:effectLst/>
          </c:spPr>
          <c:invertIfNegative val="0"/>
          <c:dPt>
            <c:idx val="0"/>
            <c:invertIfNegative val="0"/>
            <c:bubble3D val="0"/>
            <c:spPr>
              <a:solidFill>
                <a:schemeClr val="accent4"/>
              </a:solidFill>
              <a:ln w="19050">
                <a:noFill/>
              </a:ln>
              <a:effectLst/>
            </c:spPr>
            <c:extLst>
              <c:ext xmlns:c16="http://schemas.microsoft.com/office/drawing/2014/chart" uri="{C3380CC4-5D6E-409C-BE32-E72D297353CC}">
                <c16:uniqueId val="{00000001-F485-485F-B818-D5944CB69AAB}"/>
              </c:ext>
            </c:extLst>
          </c:dPt>
          <c:dPt>
            <c:idx val="1"/>
            <c:invertIfNegative val="0"/>
            <c:bubble3D val="0"/>
            <c:spPr>
              <a:solidFill>
                <a:schemeClr val="accent4"/>
              </a:solidFill>
              <a:ln w="19050">
                <a:noFill/>
              </a:ln>
              <a:effectLst/>
            </c:spPr>
            <c:extLst>
              <c:ext xmlns:c16="http://schemas.microsoft.com/office/drawing/2014/chart" uri="{C3380CC4-5D6E-409C-BE32-E72D297353CC}">
                <c16:uniqueId val="{00000003-F485-485F-B818-D5944CB69AAB}"/>
              </c:ext>
            </c:extLst>
          </c:dPt>
          <c:dPt>
            <c:idx val="2"/>
            <c:invertIfNegative val="0"/>
            <c:bubble3D val="0"/>
            <c:spPr>
              <a:solidFill>
                <a:schemeClr val="accent4"/>
              </a:solidFill>
              <a:ln w="19050">
                <a:noFill/>
              </a:ln>
              <a:effectLst/>
            </c:spPr>
            <c:extLst>
              <c:ext xmlns:c16="http://schemas.microsoft.com/office/drawing/2014/chart" uri="{C3380CC4-5D6E-409C-BE32-E72D297353CC}">
                <c16:uniqueId val="{00000005-F485-485F-B818-D5944CB69AAB}"/>
              </c:ext>
            </c:extLst>
          </c:dPt>
          <c:dPt>
            <c:idx val="3"/>
            <c:invertIfNegative val="0"/>
            <c:bubble3D val="0"/>
            <c:spPr>
              <a:solidFill>
                <a:schemeClr val="accent4"/>
              </a:solidFill>
              <a:ln w="19050">
                <a:noFill/>
              </a:ln>
              <a:effectLst/>
            </c:spPr>
            <c:extLst>
              <c:ext xmlns:c16="http://schemas.microsoft.com/office/drawing/2014/chart" uri="{C3380CC4-5D6E-409C-BE32-E72D297353CC}">
                <c16:uniqueId val="{00000007-F485-485F-B818-D5944CB69AAB}"/>
              </c:ext>
            </c:extLst>
          </c:dPt>
          <c:cat>
            <c:strRef>
              <c:f>'ניתוח הוצאות'!$B$6:$B$9</c:f>
              <c:strCache>
                <c:ptCount val="4"/>
                <c:pt idx="0">
                  <c:v>עלויות עובדים</c:v>
                </c:pt>
                <c:pt idx="1">
                  <c:v>עלויות משרדיות</c:v>
                </c:pt>
                <c:pt idx="2">
                  <c:v>עלויות שיווק</c:v>
                </c:pt>
                <c:pt idx="3">
                  <c:v>הדרכה/נסיעה</c:v>
                </c:pt>
              </c:strCache>
            </c:strRef>
          </c:cat>
          <c:val>
            <c:numRef>
              <c:f>'ניתוח הוצאות'!$D$6:$D$9</c:f>
              <c:numCache>
                <c:formatCode>"₪"#,##0.00_);[Red]\("₪"#,##0.00\)</c:formatCode>
                <c:ptCount val="4"/>
                <c:pt idx="0">
                  <c:v>659130</c:v>
                </c:pt>
                <c:pt idx="1">
                  <c:v>69350</c:v>
                </c:pt>
                <c:pt idx="2">
                  <c:v>33159</c:v>
                </c:pt>
                <c:pt idx="3">
                  <c:v>21300</c:v>
                </c:pt>
              </c:numCache>
            </c:numRef>
          </c:val>
          <c:extLst>
            <c:ext xmlns:c16="http://schemas.microsoft.com/office/drawing/2014/chart" uri="{C3380CC4-5D6E-409C-BE32-E72D297353CC}">
              <c16:uniqueId val="{00000008-F485-485F-B818-D5944CB69AAB}"/>
            </c:ext>
          </c:extLst>
        </c:ser>
        <c:dLbls>
          <c:showLegendKey val="0"/>
          <c:showVal val="0"/>
          <c:showCatName val="0"/>
          <c:showSerName val="0"/>
          <c:showPercent val="0"/>
          <c:showBubbleSize val="0"/>
        </c:dLbls>
        <c:gapWidth val="100"/>
        <c:axId val="716845712"/>
        <c:axId val="716855552"/>
      </c:barChart>
      <c:valAx>
        <c:axId val="716855552"/>
        <c:scaling>
          <c:orientation val="maxMin"/>
          <c:max val="1400000"/>
        </c:scaling>
        <c:delete val="0"/>
        <c:axPos val="t"/>
        <c:majorGridlines>
          <c:spPr>
            <a:ln w="9525" cap="flat" cmpd="sng" algn="ctr">
              <a:solidFill>
                <a:schemeClr val="tx1">
                  <a:lumMod val="15000"/>
                  <a:lumOff val="85000"/>
                </a:schemeClr>
              </a:solidFill>
              <a:round/>
            </a:ln>
            <a:effectLst/>
          </c:spPr>
        </c:majorGridlines>
        <c:numFmt formatCode="&quot;₪&quot;\ #,##0_);[Red]\(&quot;₪&quot;\ #,##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716845712"/>
        <c:crosses val="autoZero"/>
        <c:crossBetween val="between"/>
        <c:dispUnits>
          <c:builtInUnit val="tenThousands"/>
          <c:dispUnitsLbl>
            <c:layout>
              <c:manualLayout>
                <c:xMode val="edge"/>
                <c:yMode val="edge"/>
                <c:x val="6.7688291353390689E-2"/>
                <c:y val="0.94119752263847256"/>
              </c:manualLayout>
            </c:layout>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dispUnitsLbl>
        </c:dispUnits>
      </c:valAx>
      <c:catAx>
        <c:axId val="716845712"/>
        <c:scaling>
          <c:orientation val="maxMin"/>
        </c:scaling>
        <c:delete val="0"/>
        <c:axPos val="r"/>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716855552"/>
        <c:crosses val="autoZero"/>
        <c:auto val="1"/>
        <c:lblAlgn val="ctr"/>
        <c:lblOffset val="100"/>
        <c:noMultiLvlLbl val="0"/>
      </c:catAx>
      <c:spPr>
        <a:noFill/>
        <a:ln>
          <a:noFill/>
        </a:ln>
        <a:effectLst/>
      </c:spPr>
    </c:plotArea>
    <c:legend>
      <c:legendPos val="t"/>
      <c:layout>
        <c:manualLayout>
          <c:xMode val="edge"/>
          <c:yMode val="edge"/>
          <c:x val="0.69357383631938319"/>
          <c:y val="1.0416663818716148E-2"/>
          <c:w val="0.29634907228550156"/>
          <c:h val="5.58442541983119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noFill/>
    <a:ln w="9525" cap="flat" cmpd="sng" algn="ctr">
      <a:no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17</xdr:col>
      <xdr:colOff>27504</xdr:colOff>
      <xdr:row>3</xdr:row>
      <xdr:rowOff>0</xdr:rowOff>
    </xdr:from>
    <xdr:to>
      <xdr:col>20</xdr:col>
      <xdr:colOff>962</xdr:colOff>
      <xdr:row>12</xdr:row>
      <xdr:rowOff>192640</xdr:rowOff>
    </xdr:to>
    <xdr:sp macro="" textlink="">
      <xdr:nvSpPr>
        <xdr:cNvPr id="3" name="בועת דיבור: מלבן 2" descr="Tip: HOW TO USE THIS TEMPLATE&#10;Input data in the white cells on the PLANNED EXPENSES and ACTUAL EXPENSES worksheets, and the EXPENSE VARIANCES and EXPENSE ANALYSIS will be calculated for you.  If you add a row on one sheet, the other sheets need to match&#10;">
          <a:extLst>
            <a:ext uri="{FF2B5EF4-FFF2-40B4-BE49-F238E27FC236}">
              <a16:creationId xmlns:a16="http://schemas.microsoft.com/office/drawing/2014/main" id="{26EBCE28-31AF-4664-B39F-77F2857D060F}"/>
            </a:ext>
          </a:extLst>
        </xdr:cNvPr>
        <xdr:cNvSpPr/>
      </xdr:nvSpPr>
      <xdr:spPr>
        <a:xfrm flipH="1">
          <a:off x="15515154" y="1257300"/>
          <a:ext cx="1935608" cy="3288265"/>
        </a:xfrm>
        <a:prstGeom prst="wedgeRectCallout">
          <a:avLst>
            <a:gd name="adj1" fmla="val -65157"/>
            <a:gd name="adj2" fmla="val -20833"/>
          </a:avLst>
        </a:prstGeom>
        <a:solidFill>
          <a:schemeClr val="accent3">
            <a:lumMod val="20000"/>
            <a:lumOff val="80000"/>
            <a:alpha val="6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bIns="182880" rtlCol="1" anchor="t"/>
        <a:lstStyle/>
        <a:p>
          <a:pPr rtl="1"/>
          <a:r>
            <a:rPr lang="he" sz="1100" b="1">
              <a:solidFill>
                <a:schemeClr val="tx2"/>
              </a:solidFill>
              <a:effectLst/>
              <a:latin typeface="Tahoma" panose="020B0604030504040204" pitchFamily="34" charset="0"/>
              <a:ea typeface="+mn-ea"/>
              <a:cs typeface="Tahoma" panose="020B0604030504040204" pitchFamily="34" charset="0"/>
            </a:rPr>
            <a:t>אופן השימוש בתבנית זו</a:t>
          </a:r>
        </a:p>
        <a:p>
          <a:pPr rtl="1"/>
          <a:endParaRPr lang="en-US">
            <a:solidFill>
              <a:schemeClr val="tx2"/>
            </a:solidFill>
            <a:effectLst/>
            <a:latin typeface="Tahoma" panose="020B0604030504040204" pitchFamily="34" charset="0"/>
            <a:cs typeface="Tahoma" panose="020B0604030504040204" pitchFamily="34" charset="0"/>
          </a:endParaRPr>
        </a:p>
        <a:p>
          <a:pPr rtl="1"/>
          <a:r>
            <a:rPr lang="he" sz="1100">
              <a:solidFill>
                <a:schemeClr val="tx2"/>
              </a:solidFill>
              <a:effectLst/>
              <a:latin typeface="Tahoma" panose="020B0604030504040204" pitchFamily="34" charset="0"/>
              <a:ea typeface="+mn-ea"/>
              <a:cs typeface="Tahoma" panose="020B0604030504040204" pitchFamily="34" charset="0"/>
            </a:rPr>
            <a:t>הזן נתונים בתאים הלבנים שבגליונות העבודה 'הוצאות מתוכננות' ו'הוצאות בפועל'. גליונות העבודה 'שונות הוצאות' ו'ניתוח הוצאות' יחושבו עבורך באופן אוטומטי.  אם תוסיף שורה בגיליון אחד,</a:t>
          </a:r>
          <a:r>
            <a:rPr lang="he" sz="1100" baseline="0">
              <a:solidFill>
                <a:schemeClr val="tx2"/>
              </a:solidFill>
              <a:effectLst/>
              <a:latin typeface="Tahoma" panose="020B0604030504040204" pitchFamily="34" charset="0"/>
              <a:ea typeface="+mn-ea"/>
              <a:cs typeface="Tahoma" panose="020B0604030504040204" pitchFamily="34" charset="0"/>
            </a:rPr>
            <a:t> עליך להתאים את הגיליונות האחרים.</a:t>
          </a:r>
          <a:endParaRPr lang="en-US" sz="1100">
            <a:solidFill>
              <a:schemeClr val="tx2"/>
            </a:solidFill>
            <a:latin typeface="Tahoma" panose="020B0604030504040204" pitchFamily="34" charset="0"/>
            <a:cs typeface="Tahoma" panose="020B0604030504040204" pitchFamily="34" charset="0"/>
          </a:endParaRPr>
        </a:p>
      </xdr:txBody>
    </xdr:sp>
    <xdr:clientData fPrintsWithSheet="0"/>
  </xdr:twoCellAnchor>
  <xdr:twoCellAnchor editAs="oneCell">
    <xdr:from>
      <xdr:col>13</xdr:col>
      <xdr:colOff>267556</xdr:colOff>
      <xdr:row>1</xdr:row>
      <xdr:rowOff>20322</xdr:rowOff>
    </xdr:from>
    <xdr:to>
      <xdr:col>14</xdr:col>
      <xdr:colOff>740632</xdr:colOff>
      <xdr:row>2</xdr:row>
      <xdr:rowOff>121037</xdr:rowOff>
    </xdr:to>
    <xdr:pic>
      <xdr:nvPicPr>
        <xdr:cNvPr id="9" name="תמונה 18" descr="מציין מיקום של סמל">
          <a:extLst>
            <a:ext uri="{FF2B5EF4-FFF2-40B4-BE49-F238E27FC236}">
              <a16:creationId xmlns:a16="http://schemas.microsoft.com/office/drawing/2014/main" id="{65A40888-9F83-43E7-A699-52663041FF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104869808" y="325122"/>
          <a:ext cx="1547496" cy="672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267556</xdr:colOff>
      <xdr:row>1</xdr:row>
      <xdr:rowOff>20322</xdr:rowOff>
    </xdr:from>
    <xdr:to>
      <xdr:col>14</xdr:col>
      <xdr:colOff>740632</xdr:colOff>
      <xdr:row>2</xdr:row>
      <xdr:rowOff>121037</xdr:rowOff>
    </xdr:to>
    <xdr:pic>
      <xdr:nvPicPr>
        <xdr:cNvPr id="6" name="תמונה 18" descr="מציין מיקום של סמל">
          <a:extLst>
            <a:ext uri="{FF2B5EF4-FFF2-40B4-BE49-F238E27FC236}">
              <a16:creationId xmlns:a16="http://schemas.microsoft.com/office/drawing/2014/main" id="{83DAF7B9-4C56-44AA-B3C3-38F1A49B55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105197468" y="325122"/>
          <a:ext cx="1547496" cy="672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238125</xdr:colOff>
      <xdr:row>1</xdr:row>
      <xdr:rowOff>12608</xdr:rowOff>
    </xdr:from>
    <xdr:to>
      <xdr:col>14</xdr:col>
      <xdr:colOff>719407</xdr:colOff>
      <xdr:row>2</xdr:row>
      <xdr:rowOff>116888</xdr:rowOff>
    </xdr:to>
    <xdr:pic>
      <xdr:nvPicPr>
        <xdr:cNvPr id="6" name="תמונה 18" descr="מציין מיקום של סמל">
          <a:extLst>
            <a:ext uri="{FF2B5EF4-FFF2-40B4-BE49-F238E27FC236}">
              <a16:creationId xmlns:a16="http://schemas.microsoft.com/office/drawing/2014/main" id="{A2E6D019-45AC-4D89-848F-C976B436C0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105569213" y="317408"/>
          <a:ext cx="1555702" cy="67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12</xdr:row>
      <xdr:rowOff>200025</xdr:rowOff>
    </xdr:from>
    <xdr:to>
      <xdr:col>5</xdr:col>
      <xdr:colOff>1485900</xdr:colOff>
      <xdr:row>38</xdr:row>
      <xdr:rowOff>212153</xdr:rowOff>
    </xdr:to>
    <xdr:graphicFrame macro="">
      <xdr:nvGraphicFramePr>
        <xdr:cNvPr id="8" name="תרשים הוצאות חודשיות" descr="תרשים שמציג ערכים עבור 'מתוכננות', 'בפועל' ו'שונות' עבור ההוצאות החודשיות">
          <a:extLst>
            <a:ext uri="{FF2B5EF4-FFF2-40B4-BE49-F238E27FC236}">
              <a16:creationId xmlns:a16="http://schemas.microsoft.com/office/drawing/2014/main" id="{00000000-0008-0000-0300-000008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447675</xdr:colOff>
      <xdr:row>1</xdr:row>
      <xdr:rowOff>31425</xdr:rowOff>
    </xdr:from>
    <xdr:to>
      <xdr:col>6</xdr:col>
      <xdr:colOff>69215</xdr:colOff>
      <xdr:row>1</xdr:row>
      <xdr:rowOff>519105</xdr:rowOff>
    </xdr:to>
    <xdr:pic>
      <xdr:nvPicPr>
        <xdr:cNvPr id="9" name="תמונה 18" descr="מציין מיקום של סמל">
          <a:extLst>
            <a:ext uri="{FF2B5EF4-FFF2-40B4-BE49-F238E27FC236}">
              <a16:creationId xmlns:a16="http://schemas.microsoft.com/office/drawing/2014/main" id="{7C6D1F32-6273-47BA-873D-2E5A8467E2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9110082745" y="336225"/>
          <a:ext cx="112268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289559</xdr:colOff>
      <xdr:row>11</xdr:row>
      <xdr:rowOff>0</xdr:rowOff>
    </xdr:from>
    <xdr:to>
      <xdr:col>5</xdr:col>
      <xdr:colOff>1478280</xdr:colOff>
      <xdr:row>11</xdr:row>
      <xdr:rowOff>3657601</xdr:rowOff>
    </xdr:to>
    <xdr:graphicFrame macro="">
      <xdr:nvGraphicFramePr>
        <xdr:cNvPr id="7" name="תרשים הוצאות בפועל" descr="תרשים עוגה שמציג את ההוצאות בפועל שנגרמו במגוון קטגוריות">
          <a:extLst>
            <a:ext uri="{FF2B5EF4-FFF2-40B4-BE49-F238E27FC236}">
              <a16:creationId xmlns:a16="http://schemas.microsoft.com/office/drawing/2014/main" id="{FE109E8A-EB22-46B1-850C-BFD738E25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fficePlan" displayName="OfficePlan" ref="B10:O19" totalsRowCount="1" headerRowDxfId="524" dataDxfId="522" totalsRowDxfId="520" headerRowBorderDxfId="523" tableBorderDxfId="521" totalsRowBorderDxfId="519">
  <autoFilter ref="B10:O1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000-000001000000}" name="עלויות משרדיות" totalsRowLabel="סכום ביניים" dataDxfId="518" totalsRowDxfId="517"/>
    <tableColumn id="2" xr3:uid="{00000000-0010-0000-0000-000002000000}" name="ינו" totalsRowFunction="sum" dataDxfId="516" totalsRowDxfId="515"/>
    <tableColumn id="3" xr3:uid="{00000000-0010-0000-0000-000003000000}" name="פבר" totalsRowFunction="sum" dataDxfId="514" totalsRowDxfId="513"/>
    <tableColumn id="4" xr3:uid="{00000000-0010-0000-0000-000004000000}" name="מרץ" totalsRowFunction="sum" dataDxfId="512" totalsRowDxfId="511"/>
    <tableColumn id="5" xr3:uid="{00000000-0010-0000-0000-000005000000}" name="אפר" totalsRowFunction="sum" dataDxfId="510" totalsRowDxfId="509"/>
    <tableColumn id="6" xr3:uid="{00000000-0010-0000-0000-000006000000}" name="מאי" totalsRowFunction="sum" dataDxfId="508" totalsRowDxfId="507"/>
    <tableColumn id="7" xr3:uid="{00000000-0010-0000-0000-000007000000}" name="יונ" totalsRowFunction="sum" dataDxfId="506" totalsRowDxfId="505"/>
    <tableColumn id="8" xr3:uid="{00000000-0010-0000-0000-000008000000}" name="יול" totalsRowFunction="sum" dataDxfId="504" totalsRowDxfId="503"/>
    <tableColumn id="9" xr3:uid="{00000000-0010-0000-0000-000009000000}" name="אוג" totalsRowFunction="sum" dataDxfId="502" totalsRowDxfId="501"/>
    <tableColumn id="10" xr3:uid="{00000000-0010-0000-0000-00000A000000}" name="ספט" totalsRowFunction="sum" dataDxfId="500" totalsRowDxfId="499"/>
    <tableColumn id="11" xr3:uid="{00000000-0010-0000-0000-00000B000000}" name="אוק" totalsRowFunction="sum" dataDxfId="498" totalsRowDxfId="497"/>
    <tableColumn id="12" xr3:uid="{00000000-0010-0000-0000-00000C000000}" name="נוב" totalsRowFunction="sum" dataDxfId="496" totalsRowDxfId="495"/>
    <tableColumn id="13" xr3:uid="{00000000-0010-0000-0000-00000D000000}" name="דצמ" totalsRowFunction="sum" dataDxfId="494" totalsRowDxfId="493"/>
    <tableColumn id="14" xr3:uid="{00000000-0010-0000-0000-00000E000000}" name="שנה" totalsRowFunction="sum" dataDxfId="492" totalsRowDxfId="491">
      <calculatedColumnFormula>SUM(C11:N11)</calculatedColumnFormula>
    </tableColumn>
  </tableColumns>
  <tableStyleInfo name="TableStyleLight8" showFirstColumn="1" showLastColumn="1" showRowStripes="0" showColumnStripes="0"/>
  <extLst>
    <ext xmlns:x14="http://schemas.microsoft.com/office/spreadsheetml/2009/9/main" uri="{504A1905-F514-4f6f-8877-14C23A59335A}">
      <x14:table altTextSummary="הזן עלויות משרד חודשיות מתוכננות בטבלה זו. הסכום מחושב באופן אוטומטי בסוף"/>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arketingPlan" displayName="MarketingPlan" ref="B21:O28" totalsRowCount="1" headerRowDxfId="490" dataDxfId="488" totalsRowDxfId="486" headerRowBorderDxfId="489" tableBorderDxfId="487" totalsRowBorderDxfId="485">
  <autoFilter ref="B21:O2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100-000001000000}" name="עלויות שיווק" totalsRowLabel="סכום ביניים" dataDxfId="484" totalsRowDxfId="483"/>
    <tableColumn id="2" xr3:uid="{00000000-0010-0000-0100-000002000000}" name="ינו" totalsRowFunction="sum" dataDxfId="482" totalsRowDxfId="481"/>
    <tableColumn id="3" xr3:uid="{00000000-0010-0000-0100-000003000000}" name="פבר" totalsRowFunction="sum" dataDxfId="480" totalsRowDxfId="479"/>
    <tableColumn id="4" xr3:uid="{00000000-0010-0000-0100-000004000000}" name="מרץ" totalsRowFunction="sum" dataDxfId="478" totalsRowDxfId="477"/>
    <tableColumn id="5" xr3:uid="{00000000-0010-0000-0100-000005000000}" name="אפר" totalsRowFunction="sum" dataDxfId="476" totalsRowDxfId="475"/>
    <tableColumn id="6" xr3:uid="{00000000-0010-0000-0100-000006000000}" name="מאי" totalsRowFunction="sum" dataDxfId="474" totalsRowDxfId="473"/>
    <tableColumn id="7" xr3:uid="{00000000-0010-0000-0100-000007000000}" name="יונ" totalsRowFunction="sum" dataDxfId="472" totalsRowDxfId="471"/>
    <tableColumn id="8" xr3:uid="{00000000-0010-0000-0100-000008000000}" name="יול" totalsRowFunction="sum" dataDxfId="470" totalsRowDxfId="469"/>
    <tableColumn id="9" xr3:uid="{00000000-0010-0000-0100-000009000000}" name="אוג" totalsRowFunction="sum" dataDxfId="468" totalsRowDxfId="467"/>
    <tableColumn id="10" xr3:uid="{00000000-0010-0000-0100-00000A000000}" name="ספט" totalsRowFunction="sum" dataDxfId="466" totalsRowDxfId="465"/>
    <tableColumn id="11" xr3:uid="{00000000-0010-0000-0100-00000B000000}" name="אוק" totalsRowFunction="sum" dataDxfId="464" totalsRowDxfId="463"/>
    <tableColumn id="12" xr3:uid="{00000000-0010-0000-0100-00000C000000}" name="נוב" totalsRowFunction="sum" dataDxfId="462" totalsRowDxfId="461"/>
    <tableColumn id="13" xr3:uid="{00000000-0010-0000-0100-00000D000000}" name="דצמ" totalsRowFunction="sum" dataDxfId="460" totalsRowDxfId="459"/>
    <tableColumn id="14" xr3:uid="{00000000-0010-0000-0100-00000E000000}" name="שנה" totalsRowFunction="sum" dataDxfId="458" totalsRowDxfId="457">
      <calculatedColumnFormula>SUM(C22:N22)</calculatedColumnFormula>
    </tableColumn>
  </tableColumns>
  <tableStyleInfo name="TableStyleMedium1" showFirstColumn="1" showLastColumn="1" showRowStripes="0" showColumnStripes="0"/>
  <extLst>
    <ext xmlns:x14="http://schemas.microsoft.com/office/spreadsheetml/2009/9/main" uri="{504A1905-F514-4f6f-8877-14C23A59335A}">
      <x14:table altTextSummary="הזן עלויות שיווק חודשיות מתוכננות בטבלה זו. הסכום מחושב באופן אוטומטי בסוף"/>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rainingAndTravelPlan" displayName="TrainingAndTravelPlan" ref="B30:O33" totalsRowCount="1" headerRowDxfId="456" dataDxfId="454" totalsRowDxfId="452" headerRowBorderDxfId="455" tableBorderDxfId="453" totalsRowBorderDxfId="451">
  <autoFilter ref="B30:O32"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הדרכה/נסיעה" totalsRowLabel="סכום ביניים" dataDxfId="450" totalsRowDxfId="449"/>
    <tableColumn id="2" xr3:uid="{00000000-0010-0000-0200-000002000000}" name="ינו" totalsRowFunction="sum" dataDxfId="448" totalsRowDxfId="447"/>
    <tableColumn id="3" xr3:uid="{00000000-0010-0000-0200-000003000000}" name="פבר" totalsRowFunction="sum" dataDxfId="446" totalsRowDxfId="445"/>
    <tableColumn id="4" xr3:uid="{00000000-0010-0000-0200-000004000000}" name="מרץ" totalsRowFunction="sum" dataDxfId="444" totalsRowDxfId="443"/>
    <tableColumn id="5" xr3:uid="{00000000-0010-0000-0200-000005000000}" name="אפר" totalsRowFunction="sum" dataDxfId="442" totalsRowDxfId="441"/>
    <tableColumn id="6" xr3:uid="{00000000-0010-0000-0200-000006000000}" name="מאי" totalsRowFunction="sum" dataDxfId="440" totalsRowDxfId="439"/>
    <tableColumn id="7" xr3:uid="{00000000-0010-0000-0200-000007000000}" name="יונ" totalsRowFunction="sum" dataDxfId="438" totalsRowDxfId="437"/>
    <tableColumn id="8" xr3:uid="{00000000-0010-0000-0200-000008000000}" name="יול" totalsRowFunction="sum" dataDxfId="436" totalsRowDxfId="435"/>
    <tableColumn id="9" xr3:uid="{00000000-0010-0000-0200-000009000000}" name="אוג" totalsRowFunction="sum" dataDxfId="434" totalsRowDxfId="433"/>
    <tableColumn id="10" xr3:uid="{00000000-0010-0000-0200-00000A000000}" name="ספט" totalsRowFunction="sum" dataDxfId="432" totalsRowDxfId="431"/>
    <tableColumn id="11" xr3:uid="{00000000-0010-0000-0200-00000B000000}" name="אוק" totalsRowFunction="sum" dataDxfId="430" totalsRowDxfId="429"/>
    <tableColumn id="12" xr3:uid="{00000000-0010-0000-0200-00000C000000}" name="נוב" totalsRowFunction="sum" dataDxfId="428" totalsRowDxfId="427"/>
    <tableColumn id="13" xr3:uid="{00000000-0010-0000-0200-00000D000000}" name="דצמ" totalsRowFunction="sum" dataDxfId="426" totalsRowDxfId="425"/>
    <tableColumn id="14" xr3:uid="{00000000-0010-0000-0200-00000E000000}" name="שנה" totalsRowFunction="sum" dataDxfId="424" totalsRowDxfId="423">
      <calculatedColumnFormula>SUM(C31:N31)</calculatedColumnFormula>
    </tableColumn>
  </tableColumns>
  <tableStyleInfo name="TableStyleMedium1" showFirstColumn="1" showLastColumn="1" showRowStripes="0" showColumnStripes="0"/>
  <extLst>
    <ext xmlns:x14="http://schemas.microsoft.com/office/spreadsheetml/2009/9/main" uri="{504A1905-F514-4f6f-8877-14C23A59335A}">
      <x14:table altTextSummary="הזן עלויות הדרכה ונסיעה חודשיות מתוכננות בטבלה זו. הסכום מחושב באופן אוטומטי בסוף"/>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EmployeePlan" displayName="EmployeePlan" ref="B5:O8" totalsRowCount="1" headerRowDxfId="422" dataDxfId="420" totalsRowDxfId="418" headerRowBorderDxfId="421" tableBorderDxfId="419" totalsRowBorderDxfId="417">
  <autoFilter ref="B5:O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עלויות עובדים" totalsRowLabel="סכום ביניים" dataDxfId="416" totalsRowDxfId="415"/>
    <tableColumn id="2" xr3:uid="{00000000-0010-0000-0300-000002000000}" name="ינו" totalsRowFunction="sum" dataDxfId="414" totalsRowDxfId="413">
      <calculatedColumnFormula>C5*0.27</calculatedColumnFormula>
    </tableColumn>
    <tableColumn id="3" xr3:uid="{00000000-0010-0000-0300-000003000000}" name="פבר" totalsRowFunction="sum" dataDxfId="412" totalsRowDxfId="411">
      <calculatedColumnFormula>D5*0.27</calculatedColumnFormula>
    </tableColumn>
    <tableColumn id="4" xr3:uid="{00000000-0010-0000-0300-000004000000}" name="מרץ" totalsRowFunction="sum" dataDxfId="410" totalsRowDxfId="409">
      <calculatedColumnFormula>E5*0.27</calculatedColumnFormula>
    </tableColumn>
    <tableColumn id="5" xr3:uid="{00000000-0010-0000-0300-000005000000}" name="אפר" totalsRowFunction="sum" dataDxfId="408" totalsRowDxfId="407">
      <calculatedColumnFormula>F5*0.27</calculatedColumnFormula>
    </tableColumn>
    <tableColumn id="6" xr3:uid="{00000000-0010-0000-0300-000006000000}" name="מאי" totalsRowFunction="sum" dataDxfId="406" totalsRowDxfId="405">
      <calculatedColumnFormula>G5*0.27</calculatedColumnFormula>
    </tableColumn>
    <tableColumn id="7" xr3:uid="{00000000-0010-0000-0300-000007000000}" name="יונ" totalsRowFunction="sum" dataDxfId="404" totalsRowDxfId="403">
      <calculatedColumnFormula>H5*0.27</calculatedColumnFormula>
    </tableColumn>
    <tableColumn id="8" xr3:uid="{00000000-0010-0000-0300-000008000000}" name="יול" totalsRowFunction="sum" dataDxfId="402" totalsRowDxfId="401">
      <calculatedColumnFormula>I5*0.27</calculatedColumnFormula>
    </tableColumn>
    <tableColumn id="9" xr3:uid="{00000000-0010-0000-0300-000009000000}" name="אוג" totalsRowFunction="sum" dataDxfId="400" totalsRowDxfId="399">
      <calculatedColumnFormula>J5*0.27</calculatedColumnFormula>
    </tableColumn>
    <tableColumn id="10" xr3:uid="{00000000-0010-0000-0300-00000A000000}" name="ספט" totalsRowFunction="sum" dataDxfId="398" totalsRowDxfId="397">
      <calculatedColumnFormula>K5*0.27</calculatedColumnFormula>
    </tableColumn>
    <tableColumn id="11" xr3:uid="{00000000-0010-0000-0300-00000B000000}" name="אוק" totalsRowFunction="sum" dataDxfId="396" totalsRowDxfId="395">
      <calculatedColumnFormula>L5*0.27</calculatedColumnFormula>
    </tableColumn>
    <tableColumn id="12" xr3:uid="{00000000-0010-0000-0300-00000C000000}" name="נוב" totalsRowFunction="sum" dataDxfId="394" totalsRowDxfId="393">
      <calculatedColumnFormula>M5*0.27</calculatedColumnFormula>
    </tableColumn>
    <tableColumn id="13" xr3:uid="{00000000-0010-0000-0300-00000D000000}" name="דצמ" totalsRowFunction="sum" dataDxfId="392" totalsRowDxfId="391">
      <calculatedColumnFormula>N5*0.27</calculatedColumnFormula>
    </tableColumn>
    <tableColumn id="14" xr3:uid="{00000000-0010-0000-0300-00000E000000}" name="שנה" totalsRowFunction="sum" dataDxfId="390" totalsRowDxfId="389">
      <calculatedColumnFormula>SUM(C6:N6)</calculatedColumnFormula>
    </tableColumn>
  </tableColumns>
  <tableStyleInfo name="TableStyleMedium1" showFirstColumn="1" showLastColumn="1" showRowStripes="1" showColumnStripes="0"/>
  <extLst>
    <ext xmlns:x14="http://schemas.microsoft.com/office/spreadsheetml/2009/9/main" uri="{504A1905-F514-4f6f-8877-14C23A59335A}">
      <x14:table altTextSummary="הזן עלויות עובדים חודשיות מתוכננות בטבלה זו. הסכום מחושב באופן אוטומטי בסוף"/>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1654C0-A6E2-4402-ADF4-C02B29E915BD}" name="PlannedTotal" displayName="PlannedTotal" ref="B35:O37" headerRowDxfId="388" dataDxfId="386" totalsRowDxfId="384" headerRowBorderDxfId="387" tableBorderDxfId="385" totalsRowBorderDxfId="383">
  <autoFilter ref="B35:O37" xr:uid="{630CA614-6744-438B-8D74-F7C59585F1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7DAEAEE0-3B16-417F-B274-1F203D9CFCF2}" name="סכומים כוללים" totalsRowLabel="סה&quot;כ" dataDxfId="382" totalsRowDxfId="381"/>
    <tableColumn id="2" xr3:uid="{3CBCAAC6-5850-43CE-8A4B-7299FADFEA94}" name="ינו" dataDxfId="380" totalsRowDxfId="379">
      <calculatedColumnFormula>SUM($C35:C$36)</calculatedColumnFormula>
    </tableColumn>
    <tableColumn id="3" xr3:uid="{E78EAAAB-F732-4079-94F1-D17531764B41}" name="פבר" dataDxfId="378" totalsRowDxfId="377">
      <calculatedColumnFormula>SUM($C35:D$36)</calculatedColumnFormula>
    </tableColumn>
    <tableColumn id="4" xr3:uid="{7E178853-B334-4E02-A0B5-9E8AC39D6929}" name="מרץ" dataDxfId="376" totalsRowDxfId="375">
      <calculatedColumnFormula>SUM($C35:E$36)</calculatedColumnFormula>
    </tableColumn>
    <tableColumn id="5" xr3:uid="{901BCAA1-7C45-46E6-9DAA-C055B5CC4D9E}" name="אפר" dataDxfId="374" totalsRowDxfId="373">
      <calculatedColumnFormula>SUM($C35:F$36)</calculatedColumnFormula>
    </tableColumn>
    <tableColumn id="6" xr3:uid="{FDC62F5A-FCA8-49DA-AFE4-FBDA22CB588C}" name="מאי" dataDxfId="372" totalsRowDxfId="371">
      <calculatedColumnFormula>SUM($C35:G$36)</calculatedColumnFormula>
    </tableColumn>
    <tableColumn id="7" xr3:uid="{6B7E4F62-6387-4545-9593-FCFE8EB0E87B}" name="יונ" dataDxfId="370" totalsRowDxfId="369">
      <calculatedColumnFormula>SUM($C35:H$36)</calculatedColumnFormula>
    </tableColumn>
    <tableColumn id="8" xr3:uid="{29C96D76-82C3-4C86-A866-135D2B5F6766}" name="יול" dataDxfId="368" totalsRowDxfId="367">
      <calculatedColumnFormula>SUM($C35:I$36)</calculatedColumnFormula>
    </tableColumn>
    <tableColumn id="9" xr3:uid="{8EAF7A8A-BCFD-4A07-ADFE-7B3A8A367BB3}" name="אוג" dataDxfId="366" totalsRowDxfId="365">
      <calculatedColumnFormula>SUM($C35:J$36)</calculatedColumnFormula>
    </tableColumn>
    <tableColumn id="10" xr3:uid="{F40CD844-EFB4-4B82-8FEA-F130D1DDE9B6}" name="ספט" dataDxfId="364" totalsRowDxfId="363">
      <calculatedColumnFormula>SUM($C35:K$36)</calculatedColumnFormula>
    </tableColumn>
    <tableColumn id="11" xr3:uid="{42E3BDAF-1274-4A42-93E1-A70D8EFF4D76}" name="אוק" dataDxfId="362" totalsRowDxfId="361">
      <calculatedColumnFormula>SUM($C35:L$36)</calculatedColumnFormula>
    </tableColumn>
    <tableColumn id="12" xr3:uid="{4F7ADDB3-3705-4D5F-B56D-EBBC8E7DFAFB}" name="נוב" dataDxfId="360" totalsRowDxfId="359">
      <calculatedColumnFormula>SUM($C35:M$36)</calculatedColumnFormula>
    </tableColumn>
    <tableColumn id="13" xr3:uid="{56789314-1137-4ED4-BA2B-969187ADECB2}" name="דצמ" dataDxfId="358" totalsRowDxfId="357">
      <calculatedColumnFormula>SUM($C35:N$36)</calculatedColumnFormula>
    </tableColumn>
    <tableColumn id="14" xr3:uid="{284F34B8-8D32-4E44-96FD-25CE69A931D2}" name="שנה" totalsRowFunction="sum" dataDxfId="356" totalsRowDxfId="355"/>
  </tableColumns>
  <tableStyleInfo showFirstColumn="1" showLastColumn="0" showRowStripes="0" showColumnStripes="0"/>
  <extLst>
    <ext xmlns:x14="http://schemas.microsoft.com/office/spreadsheetml/2009/9/main" uri="{504A1905-F514-4f6f-8877-14C23A59335A}">
      <x14:table altTextSummary="ההוצאות המתוכננות החודשיות והכוללות מחושבות באופן אוטומטי בטבלה זו"/>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fficeActual" displayName="OfficeActual" ref="B10:O19" totalsRowCount="1" headerRowDxfId="354" dataDxfId="352" totalsRowDxfId="350" headerRowBorderDxfId="353" tableBorderDxfId="351" totalsRowBorderDxfId="349">
  <autoFilter ref="B10:O18"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עלויות משרדיות" totalsRowLabel="סכום ביניים" dataDxfId="348" totalsRowDxfId="347"/>
    <tableColumn id="2" xr3:uid="{00000000-0010-0000-0400-000002000000}" name="ינו" totalsRowFunction="sum" dataDxfId="346" totalsRowDxfId="345"/>
    <tableColumn id="3" xr3:uid="{00000000-0010-0000-0400-000003000000}" name="פבר" totalsRowFunction="sum" dataDxfId="344" totalsRowDxfId="343"/>
    <tableColumn id="4" xr3:uid="{00000000-0010-0000-0400-000004000000}" name="מרץ" totalsRowFunction="sum" dataDxfId="342" totalsRowDxfId="341"/>
    <tableColumn id="5" xr3:uid="{00000000-0010-0000-0400-000005000000}" name="אפר" totalsRowFunction="sum" dataDxfId="340" totalsRowDxfId="339"/>
    <tableColumn id="6" xr3:uid="{00000000-0010-0000-0400-000006000000}" name="מאי" totalsRowFunction="sum" dataDxfId="338" totalsRowDxfId="337"/>
    <tableColumn id="7" xr3:uid="{00000000-0010-0000-0400-000007000000}" name="יונ" totalsRowFunction="sum" dataDxfId="336" totalsRowDxfId="335"/>
    <tableColumn id="8" xr3:uid="{00000000-0010-0000-0400-000008000000}" name="יול" totalsRowFunction="sum" dataDxfId="334" totalsRowDxfId="333"/>
    <tableColumn id="9" xr3:uid="{00000000-0010-0000-0400-000009000000}" name="אוג" totalsRowFunction="sum" dataDxfId="332" totalsRowDxfId="331"/>
    <tableColumn id="10" xr3:uid="{00000000-0010-0000-0400-00000A000000}" name="ספט" totalsRowFunction="sum" dataDxfId="330" totalsRowDxfId="329"/>
    <tableColumn id="11" xr3:uid="{00000000-0010-0000-0400-00000B000000}" name="אוק" totalsRowFunction="sum" dataDxfId="328" totalsRowDxfId="327"/>
    <tableColumn id="12" xr3:uid="{00000000-0010-0000-0400-00000C000000}" name="נוב" totalsRowFunction="sum" dataDxfId="326" totalsRowDxfId="325"/>
    <tableColumn id="13" xr3:uid="{00000000-0010-0000-0400-00000D000000}" name="דצמ" totalsRowFunction="sum" dataDxfId="324" totalsRowDxfId="323"/>
    <tableColumn id="14" xr3:uid="{00000000-0010-0000-0400-00000E000000}" name="שנה" totalsRowFunction="sum" dataDxfId="322" totalsRowDxfId="321">
      <calculatedColumnFormula>SUM(C11:N11)</calculatedColumnFormula>
    </tableColumn>
  </tableColumns>
  <tableStyleInfo name="TableStyleMedium1" showFirstColumn="1" showLastColumn="1" showRowStripes="0" showColumnStripes="0"/>
  <extLst>
    <ext xmlns:x14="http://schemas.microsoft.com/office/spreadsheetml/2009/9/main" uri="{504A1905-F514-4f6f-8877-14C23A59335A}">
      <x14:table altTextSummary="הזן עלויות משרד חודשיות בפועל בטבלה זו. הסכום מחושב באופן אוטומטי בסוף"/>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MarketingActual" displayName="MarketingActual" ref="B21:O28" totalsRowCount="1" headerRowDxfId="320" dataDxfId="318" totalsRowDxfId="316" headerRowBorderDxfId="319" tableBorderDxfId="317" totalsRowBorderDxfId="315">
  <autoFilter ref="B21:O27"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500-000001000000}" name="עלויות שיווק" totalsRowLabel="סכום ביניים" dataDxfId="314" totalsRowDxfId="313"/>
    <tableColumn id="2" xr3:uid="{00000000-0010-0000-0500-000002000000}" name="ינו" totalsRowFunction="sum" dataDxfId="312" totalsRowDxfId="311"/>
    <tableColumn id="3" xr3:uid="{00000000-0010-0000-0500-000003000000}" name="פבר" totalsRowFunction="sum" dataDxfId="310" totalsRowDxfId="309"/>
    <tableColumn id="4" xr3:uid="{00000000-0010-0000-0500-000004000000}" name="מרץ" totalsRowFunction="sum" dataDxfId="308" totalsRowDxfId="307"/>
    <tableColumn id="5" xr3:uid="{00000000-0010-0000-0500-000005000000}" name="אפר" totalsRowFunction="sum" dataDxfId="306" totalsRowDxfId="305"/>
    <tableColumn id="6" xr3:uid="{00000000-0010-0000-0500-000006000000}" name="מאי" totalsRowFunction="sum" dataDxfId="304" totalsRowDxfId="303"/>
    <tableColumn id="7" xr3:uid="{00000000-0010-0000-0500-000007000000}" name="יונ" totalsRowFunction="sum" dataDxfId="302" totalsRowDxfId="301"/>
    <tableColumn id="8" xr3:uid="{00000000-0010-0000-0500-000008000000}" name="יול" totalsRowFunction="sum" dataDxfId="300" totalsRowDxfId="299"/>
    <tableColumn id="9" xr3:uid="{00000000-0010-0000-0500-000009000000}" name="אוג" totalsRowFunction="sum" dataDxfId="298" totalsRowDxfId="297"/>
    <tableColumn id="10" xr3:uid="{00000000-0010-0000-0500-00000A000000}" name="ספט" totalsRowFunction="sum" dataDxfId="296" totalsRowDxfId="295"/>
    <tableColumn id="11" xr3:uid="{00000000-0010-0000-0500-00000B000000}" name="אוק" totalsRowFunction="sum" dataDxfId="294" totalsRowDxfId="293"/>
    <tableColumn id="12" xr3:uid="{00000000-0010-0000-0500-00000C000000}" name="נוב" totalsRowFunction="sum" dataDxfId="292" totalsRowDxfId="291"/>
    <tableColumn id="13" xr3:uid="{00000000-0010-0000-0500-00000D000000}" name="דצמ" totalsRowFunction="sum" dataDxfId="290" totalsRowDxfId="289"/>
    <tableColumn id="14" xr3:uid="{00000000-0010-0000-0500-00000E000000}" name="שנה" totalsRowFunction="sum" dataDxfId="288" totalsRowDxfId="287">
      <calculatedColumnFormula>SUM(C22:N22)</calculatedColumnFormula>
    </tableColumn>
  </tableColumns>
  <tableStyleInfo name="TableStyleMedium1" showFirstColumn="1" showLastColumn="1" showRowStripes="0" showColumnStripes="0"/>
  <extLst>
    <ext xmlns:x14="http://schemas.microsoft.com/office/spreadsheetml/2009/9/main" uri="{504A1905-F514-4f6f-8877-14C23A59335A}">
      <x14:table altTextSummary="הזן עלויות שיווק חודשיות בפועל בטבלה זו. הסכום מחושב באופן אוטומטי בסוף"/>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rainingAndTravelActual" displayName="TrainingAndTravelActual" ref="B30:O33" totalsRowCount="1" headerRowDxfId="286" dataDxfId="284" totalsRowDxfId="282" headerRowBorderDxfId="285" tableBorderDxfId="283" totalsRowBorderDxfId="281">
  <autoFilter ref="B30:O32"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600-000001000000}" name="הדרכה/נסיעה" totalsRowLabel="סכום ביניים" dataDxfId="280" totalsRowDxfId="279"/>
    <tableColumn id="2" xr3:uid="{00000000-0010-0000-0600-000002000000}" name="ינו" totalsRowFunction="sum" dataDxfId="278" totalsRowDxfId="277"/>
    <tableColumn id="3" xr3:uid="{00000000-0010-0000-0600-000003000000}" name="פבר" totalsRowFunction="sum" dataDxfId="276" totalsRowDxfId="275"/>
    <tableColumn id="4" xr3:uid="{00000000-0010-0000-0600-000004000000}" name="מרץ" totalsRowFunction="sum" dataDxfId="274" totalsRowDxfId="273"/>
    <tableColumn id="5" xr3:uid="{00000000-0010-0000-0600-000005000000}" name="אפר" totalsRowFunction="sum" dataDxfId="272" totalsRowDxfId="271"/>
    <tableColumn id="6" xr3:uid="{00000000-0010-0000-0600-000006000000}" name="מאי" totalsRowFunction="sum" dataDxfId="270" totalsRowDxfId="269"/>
    <tableColumn id="7" xr3:uid="{00000000-0010-0000-0600-000007000000}" name="יונ" totalsRowFunction="sum" dataDxfId="268" totalsRowDxfId="267"/>
    <tableColumn id="8" xr3:uid="{00000000-0010-0000-0600-000008000000}" name="יול" totalsRowFunction="sum" dataDxfId="266" totalsRowDxfId="265"/>
    <tableColumn id="9" xr3:uid="{00000000-0010-0000-0600-000009000000}" name="אוג" totalsRowFunction="sum" dataDxfId="264" totalsRowDxfId="263"/>
    <tableColumn id="10" xr3:uid="{00000000-0010-0000-0600-00000A000000}" name="ספט" totalsRowFunction="sum" dataDxfId="262" totalsRowDxfId="261"/>
    <tableColumn id="11" xr3:uid="{00000000-0010-0000-0600-00000B000000}" name="אוק" totalsRowFunction="sum" dataDxfId="260" totalsRowDxfId="259"/>
    <tableColumn id="12" xr3:uid="{00000000-0010-0000-0600-00000C000000}" name="נוב" totalsRowFunction="sum" dataDxfId="258" totalsRowDxfId="257"/>
    <tableColumn id="13" xr3:uid="{00000000-0010-0000-0600-00000D000000}" name="דצמ" totalsRowFunction="sum" dataDxfId="256" totalsRowDxfId="255"/>
    <tableColumn id="14" xr3:uid="{00000000-0010-0000-0600-00000E000000}" name="שנה" totalsRowFunction="sum" dataDxfId="254" totalsRowDxfId="253">
      <calculatedColumnFormula>SUM(C31:N31)</calculatedColumnFormula>
    </tableColumn>
  </tableColumns>
  <tableStyleInfo name="TableStyleMedium1" showFirstColumn="1" showLastColumn="1" showRowStripes="0" showColumnStripes="0"/>
  <extLst>
    <ext xmlns:x14="http://schemas.microsoft.com/office/spreadsheetml/2009/9/main" uri="{504A1905-F514-4f6f-8877-14C23A59335A}">
      <x14:table altTextSummary="הזן עלויות הדרכה ונסיעה חודשיות בפועל בטבלה זו. הסכום מחושב באופן אוטומטי בסוף"/>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EmployeeActual" displayName="EmployeeActual" ref="B5:O8" totalsRowCount="1" headerRowDxfId="252" dataDxfId="250" totalsRowDxfId="248" headerRowBorderDxfId="251" tableBorderDxfId="249" totalsRowBorderDxfId="247">
  <autoFilter ref="B5:O7"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700-000001000000}" name="עלויות עובדים" totalsRowLabel="סכום ביניים" dataDxfId="246" totalsRowDxfId="245"/>
    <tableColumn id="2" xr3:uid="{00000000-0010-0000-0700-000002000000}" name="ינו" totalsRowFunction="sum" dataDxfId="244" totalsRowDxfId="243">
      <calculatedColumnFormula>C5*0.27</calculatedColumnFormula>
    </tableColumn>
    <tableColumn id="3" xr3:uid="{00000000-0010-0000-0700-000003000000}" name="פבר" totalsRowFunction="sum" dataDxfId="242" totalsRowDxfId="241">
      <calculatedColumnFormula>D5*0.27</calculatedColumnFormula>
    </tableColumn>
    <tableColumn id="4" xr3:uid="{00000000-0010-0000-0700-000004000000}" name="מרץ" totalsRowFunction="sum" dataDxfId="240" totalsRowDxfId="239">
      <calculatedColumnFormula>E5*0.27</calculatedColumnFormula>
    </tableColumn>
    <tableColumn id="5" xr3:uid="{00000000-0010-0000-0700-000005000000}" name="אפר" totalsRowFunction="sum" dataDxfId="238" totalsRowDxfId="237">
      <calculatedColumnFormula>F5*0.27</calculatedColumnFormula>
    </tableColumn>
    <tableColumn id="6" xr3:uid="{00000000-0010-0000-0700-000006000000}" name="מאי" totalsRowFunction="sum" dataDxfId="236" totalsRowDxfId="235">
      <calculatedColumnFormula>G5*0.27</calculatedColumnFormula>
    </tableColumn>
    <tableColumn id="7" xr3:uid="{00000000-0010-0000-0700-000007000000}" name="יונ" totalsRowFunction="sum" dataDxfId="234" totalsRowDxfId="233">
      <calculatedColumnFormula>H5*0.27</calculatedColumnFormula>
    </tableColumn>
    <tableColumn id="8" xr3:uid="{00000000-0010-0000-0700-000008000000}" name="יול" totalsRowFunction="sum" dataDxfId="232" totalsRowDxfId="231"/>
    <tableColumn id="9" xr3:uid="{00000000-0010-0000-0700-000009000000}" name="אוג" totalsRowFunction="sum" dataDxfId="230" totalsRowDxfId="229"/>
    <tableColumn id="10" xr3:uid="{00000000-0010-0000-0700-00000A000000}" name="ספט" totalsRowFunction="sum" dataDxfId="228" totalsRowDxfId="227"/>
    <tableColumn id="11" xr3:uid="{00000000-0010-0000-0700-00000B000000}" name="אוק" totalsRowFunction="sum" dataDxfId="226" totalsRowDxfId="225"/>
    <tableColumn id="12" xr3:uid="{00000000-0010-0000-0700-00000C000000}" name="נוב" totalsRowFunction="sum" dataDxfId="224" totalsRowDxfId="223"/>
    <tableColumn id="13" xr3:uid="{00000000-0010-0000-0700-00000D000000}" name="דצמ" totalsRowFunction="sum" dataDxfId="222" totalsRowDxfId="221"/>
    <tableColumn id="14" xr3:uid="{00000000-0010-0000-0700-00000E000000}" name="שנה" totalsRowFunction="sum" dataDxfId="220" totalsRowDxfId="219">
      <calculatedColumnFormula>SUM(C6:N6)</calculatedColumnFormula>
    </tableColumn>
  </tableColumns>
  <tableStyleInfo name="TableStyleMedium1" showFirstColumn="1" showLastColumn="1" showRowStripes="0" showColumnStripes="0"/>
  <extLst>
    <ext xmlns:x14="http://schemas.microsoft.com/office/spreadsheetml/2009/9/main" uri="{504A1905-F514-4f6f-8877-14C23A59335A}">
      <x14:table altTextSummary="הזן עלויות עובדים חודשיות בפועל בטבלה זו. הסכום מחושב באופן אוטומטי בסוף"/>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B099C32-C8DE-492A-BEED-550CF2841A11}" name="TotalActual" displayName="TotalActual" ref="B35:O37" headerRowDxfId="218" dataDxfId="217" totalsRowDxfId="215" tableBorderDxfId="216">
  <autoFilter ref="B35:O37" xr:uid="{527B5B30-B216-4604-BE5A-D760DE033F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59818E9-FD74-4273-8957-D80FFA77ADE8}" name="הוצאות מתוכננות כוללות" totalsRowLabel="סה&quot;כ" dataDxfId="214" totalsRowDxfId="213"/>
    <tableColumn id="2" xr3:uid="{ED08B701-BD0B-43EA-B6B5-8B23D583D505}" name="ינו" dataDxfId="212" totalsRowDxfId="211">
      <calculatedColumnFormula>SUM($C35:C$36)</calculatedColumnFormula>
    </tableColumn>
    <tableColumn id="3" xr3:uid="{953C450B-5235-4234-924F-53796609C439}" name="פבר" dataDxfId="210" totalsRowDxfId="209">
      <calculatedColumnFormula>SUM($C35:D$36)</calculatedColumnFormula>
    </tableColumn>
    <tableColumn id="4" xr3:uid="{A434CE91-3696-411F-8418-02228D13F12E}" name="מרץ" dataDxfId="208" totalsRowDxfId="207">
      <calculatedColumnFormula>SUM($C35:E$36)</calculatedColumnFormula>
    </tableColumn>
    <tableColumn id="5" xr3:uid="{1E74C645-B91F-4CDB-9F55-6FEC8EAB0A64}" name="אפר" dataDxfId="206" totalsRowDxfId="205">
      <calculatedColumnFormula>SUM($C35:F$36)</calculatedColumnFormula>
    </tableColumn>
    <tableColumn id="6" xr3:uid="{A3B698F1-9EF3-489A-A70E-8E760D6B713B}" name="מאי" dataDxfId="204" totalsRowDxfId="203">
      <calculatedColumnFormula>SUM($C35:G$36)</calculatedColumnFormula>
    </tableColumn>
    <tableColumn id="7" xr3:uid="{6CEDC80B-5635-47E7-AA54-EBD827095F7C}" name="יונ" dataDxfId="202" totalsRowDxfId="201">
      <calculatedColumnFormula>SUM($C35:H$36)</calculatedColumnFormula>
    </tableColumn>
    <tableColumn id="8" xr3:uid="{A73C88FE-0ABF-4134-B6B0-043ECC9295D4}" name="יול" dataDxfId="200" totalsRowDxfId="199">
      <calculatedColumnFormula>SUM($C35:I$36)</calculatedColumnFormula>
    </tableColumn>
    <tableColumn id="9" xr3:uid="{62119987-B16F-44A1-B80E-29460A9513CD}" name="אוג" dataDxfId="198" totalsRowDxfId="197">
      <calculatedColumnFormula>SUM($C35:J$36)</calculatedColumnFormula>
    </tableColumn>
    <tableColumn id="10" xr3:uid="{C84A40CE-DC4A-442E-883F-891CA5A9A166}" name="ספט" dataDxfId="196" totalsRowDxfId="195">
      <calculatedColumnFormula>SUM($C35:K$36)</calculatedColumnFormula>
    </tableColumn>
    <tableColumn id="11" xr3:uid="{4DB975F1-C294-416D-81FB-A8070CC2C3BC}" name="אוק" dataDxfId="194" totalsRowDxfId="193">
      <calculatedColumnFormula>SUM($C35:L$36)</calculatedColumnFormula>
    </tableColumn>
    <tableColumn id="12" xr3:uid="{BC57DA11-9B5C-452D-8026-EF863D07E32E}" name="נוב" dataDxfId="192" totalsRowDxfId="191">
      <calculatedColumnFormula>SUM($C35:M$36)</calculatedColumnFormula>
    </tableColumn>
    <tableColumn id="13" xr3:uid="{904E02FB-FEA8-49B0-ABA0-9B659A7720D8}" name="דצמ" dataDxfId="190" totalsRowDxfId="189">
      <calculatedColumnFormula>SUM($C35:N$36)</calculatedColumnFormula>
    </tableColumn>
    <tableColumn id="14" xr3:uid="{8C10E0BB-4735-4718-9538-C4AFB616D92A}" name="שנה" totalsRowFunction="sum" dataDxfId="188" totalsRowDxfId="187"/>
  </tableColumns>
  <tableStyleInfo name="TableStyleMedium1" showFirstColumn="1" showLastColumn="0" showRowStripes="0" showColumnStripes="0"/>
  <extLst>
    <ext xmlns:x14="http://schemas.microsoft.com/office/spreadsheetml/2009/9/main" uri="{504A1905-F514-4f6f-8877-14C23A59335A}">
      <x14:table altTextSummary="ההוצאות החודשיות והכוללות בפועל מחושבות באופן אוטומטי בטבלה זו"/>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EmployeeVariances" displayName="EmployeeVariances" ref="B5:O8" totalsRowCount="1" headerRowDxfId="186" dataDxfId="184" totalsRowDxfId="182" headerRowBorderDxfId="185" tableBorderDxfId="183" totalsRowBorderDxfId="181">
  <autoFilter ref="B5:O7"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800-000001000000}" name="עלויות עובדים" totalsRowLabel="סכום ביניים" dataDxfId="180" totalsRowDxfId="179"/>
    <tableColumn id="2" xr3:uid="{00000000-0010-0000-0800-000002000000}" name="ינו" totalsRowFunction="sum" dataDxfId="178" totalsRowDxfId="177">
      <calculatedColumnFormula>INDEX(EmployeePlan[],MATCH(INDEX(EmployeeVariances[],ROW()-ROW(EmployeeVariances[[#Headers],[ינו]]),1),INDEX(EmployeePlan[],,1),0),MATCH(EmployeeVariances[[#Headers],[ינו]],EmployeePlan[#Headers],0))-INDEX(EmployeeActual[],MATCH(INDEX(EmployeeVariances[],ROW()-ROW(EmployeeVariances[[#Headers],[ינו]]),1),INDEX(EmployeePlan[],,1),0),MATCH(EmployeeVariances[[#Headers],[ינו]],EmployeeActual[#Headers],0))</calculatedColumnFormula>
    </tableColumn>
    <tableColumn id="3" xr3:uid="{00000000-0010-0000-0800-000003000000}" name="פבר" totalsRowFunction="sum" dataDxfId="176" totalsRowDxfId="175">
      <calculatedColumnFormula>INDEX(EmployeePlan[],MATCH(INDEX(EmployeeVariances[],ROW()-ROW(EmployeeVariances[[#Headers],[פבר]]),1),INDEX(EmployeePlan[],,1),0),MATCH(EmployeeVariances[[#Headers],[פבר]],EmployeePlan[#Headers],0))-INDEX(EmployeeActual[],MATCH(INDEX(EmployeeVariances[],ROW()-ROW(EmployeeVariances[[#Headers],[פבר]]),1),INDEX(EmployeePlan[],,1),0),MATCH(EmployeeVariances[[#Headers],[פבר]],EmployeeActual[#Headers],0))</calculatedColumnFormula>
    </tableColumn>
    <tableColumn id="4" xr3:uid="{00000000-0010-0000-0800-000004000000}" name="מרץ" totalsRowFunction="sum" dataDxfId="174" totalsRowDxfId="173">
      <calculatedColumnFormula>INDEX(EmployeePlan[],MATCH(INDEX(EmployeeVariances[],ROW()-ROW(EmployeeVariances[[#Headers],[מרץ]]),1),INDEX(EmployeePlan[],,1),0),MATCH(EmployeeVariances[[#Headers],[מרץ]],EmployeePlan[#Headers],0))-INDEX(EmployeeActual[],MATCH(INDEX(EmployeeVariances[],ROW()-ROW(EmployeeVariances[[#Headers],[מרץ]]),1),INDEX(EmployeePlan[],,1),0),MATCH(EmployeeVariances[[#Headers],[מרץ]],EmployeeActual[#Headers],0))</calculatedColumnFormula>
    </tableColumn>
    <tableColumn id="5" xr3:uid="{00000000-0010-0000-0800-000005000000}" name="אפר" totalsRowFunction="sum" dataDxfId="172" totalsRowDxfId="171">
      <calculatedColumnFormula>INDEX(EmployeePlan[],MATCH(INDEX(EmployeeVariances[],ROW()-ROW(EmployeeVariances[[#Headers],[אפר]]),1),INDEX(EmployeePlan[],,1),0),MATCH(EmployeeVariances[[#Headers],[אפר]],EmployeePlan[#Headers],0))-INDEX(EmployeeActual[],MATCH(INDEX(EmployeeVariances[],ROW()-ROW(EmployeeVariances[[#Headers],[אפר]]),1),INDEX(EmployeePlan[],,1),0),MATCH(EmployeeVariances[[#Headers],[אפר]],EmployeeActual[#Headers],0))</calculatedColumnFormula>
    </tableColumn>
    <tableColumn id="6" xr3:uid="{00000000-0010-0000-0800-000006000000}" name="מאי" totalsRowFunction="sum" dataDxfId="170" totalsRowDxfId="169">
      <calculatedColumnFormula>INDEX(EmployeePlan[],MATCH(INDEX(EmployeeVariances[],ROW()-ROW(EmployeeVariances[[#Headers],[מאי]]),1),INDEX(EmployeePlan[],,1),0),MATCH(EmployeeVariances[[#Headers],[מאי]],EmployeePlan[#Headers],0))-INDEX(EmployeeActual[],MATCH(INDEX(EmployeeVariances[],ROW()-ROW(EmployeeVariances[[#Headers],[מאי]]),1),INDEX(EmployeePlan[],,1),0),MATCH(EmployeeVariances[[#Headers],[מאי]],EmployeeActual[#Headers],0))</calculatedColumnFormula>
    </tableColumn>
    <tableColumn id="7" xr3:uid="{00000000-0010-0000-0800-000007000000}" name="יונ" totalsRowFunction="sum" dataDxfId="168" totalsRowDxfId="167">
      <calculatedColumnFormula>INDEX(EmployeePlan[],MATCH(INDEX(EmployeeVariances[],ROW()-ROW(EmployeeVariances[[#Headers],[יונ]]),1),INDEX(EmployeePlan[],,1),0),MATCH(EmployeeVariances[[#Headers],[יונ]],EmployeePlan[#Headers],0))-INDEX(EmployeeActual[],MATCH(INDEX(EmployeeVariances[],ROW()-ROW(EmployeeVariances[[#Headers],[יונ]]),1),INDEX(EmployeePlan[],,1),0),MATCH(EmployeeVariances[[#Headers],[יונ]],EmployeeActual[#Headers],0))</calculatedColumnFormula>
    </tableColumn>
    <tableColumn id="8" xr3:uid="{00000000-0010-0000-0800-000008000000}" name="יול" totalsRowFunction="sum" dataDxfId="166" totalsRowDxfId="165">
      <calculatedColumnFormula>INDEX(EmployeePlan[],MATCH(INDEX(EmployeeVariances[],ROW()-ROW(EmployeeVariances[[#Headers],[יול]]),1),INDEX(EmployeePlan[],,1),0),MATCH(EmployeeVariances[[#Headers],[יול]],EmployeePlan[#Headers],0))-INDEX(EmployeeActual[],MATCH(INDEX(EmployeeVariances[],ROW()-ROW(EmployeeVariances[[#Headers],[יול]]),1),INDEX(EmployeePlan[],,1),0),MATCH(EmployeeVariances[[#Headers],[יול]],EmployeeActual[#Headers],0))</calculatedColumnFormula>
    </tableColumn>
    <tableColumn id="9" xr3:uid="{00000000-0010-0000-0800-000009000000}" name="אוג" totalsRowFunction="sum" dataDxfId="164" totalsRowDxfId="163">
      <calculatedColumnFormula>INDEX(EmployeePlan[],MATCH(INDEX(EmployeeVariances[],ROW()-ROW(EmployeeVariances[[#Headers],[אוג]]),1),INDEX(EmployeePlan[],,1),0),MATCH(EmployeeVariances[[#Headers],[אוג]],EmployeePlan[#Headers],0))-INDEX(EmployeeActual[],MATCH(INDEX(EmployeeVariances[],ROW()-ROW(EmployeeVariances[[#Headers],[אוג]]),1),INDEX(EmployeePlan[],,1),0),MATCH(EmployeeVariances[[#Headers],[אוג]],EmployeeActual[#Headers],0))</calculatedColumnFormula>
    </tableColumn>
    <tableColumn id="10" xr3:uid="{00000000-0010-0000-0800-00000A000000}" name="ספט" totalsRowFunction="sum" dataDxfId="162" totalsRowDxfId="161">
      <calculatedColumnFormula>INDEX(EmployeePlan[],MATCH(INDEX(EmployeeVariances[],ROW()-ROW(EmployeeVariances[[#Headers],[ספט]]),1),INDEX(EmployeePlan[],,1),0),MATCH(EmployeeVariances[[#Headers],[ספט]],EmployeePlan[#Headers],0))-INDEX(EmployeeActual[],MATCH(INDEX(EmployeeVariances[],ROW()-ROW(EmployeeVariances[[#Headers],[ספט]]),1),INDEX(EmployeePlan[],,1),0),MATCH(EmployeeVariances[[#Headers],[ספט]],EmployeeActual[#Headers],0))</calculatedColumnFormula>
    </tableColumn>
    <tableColumn id="11" xr3:uid="{00000000-0010-0000-0800-00000B000000}" name="אוק" totalsRowFunction="sum" dataDxfId="160" totalsRowDxfId="159">
      <calculatedColumnFormula>INDEX(EmployeePlan[],MATCH(INDEX(EmployeeVariances[],ROW()-ROW(EmployeeVariances[[#Headers],[אוק]]),1),INDEX(EmployeePlan[],,1),0),MATCH(EmployeeVariances[[#Headers],[אוק]],EmployeePlan[#Headers],0))-INDEX(EmployeeActual[],MATCH(INDEX(EmployeeVariances[],ROW()-ROW(EmployeeVariances[[#Headers],[אוק]]),1),INDEX(EmployeePlan[],,1),0),MATCH(EmployeeVariances[[#Headers],[אוק]],EmployeeActual[#Headers],0))</calculatedColumnFormula>
    </tableColumn>
    <tableColumn id="12" xr3:uid="{00000000-0010-0000-0800-00000C000000}" name="נוב" totalsRowFunction="sum" dataDxfId="158" totalsRowDxfId="157">
      <calculatedColumnFormula>INDEX(EmployeePlan[],MATCH(INDEX(EmployeeVariances[],ROW()-ROW(EmployeeVariances[[#Headers],[נוב]]),1),INDEX(EmployeePlan[],,1),0),MATCH(EmployeeVariances[[#Headers],[נוב]],EmployeePlan[#Headers],0))-INDEX(EmployeeActual[],MATCH(INDEX(EmployeeVariances[],ROW()-ROW(EmployeeVariances[[#Headers],[נוב]]),1),INDEX(EmployeePlan[],,1),0),MATCH(EmployeeVariances[[#Headers],[נוב]],EmployeeActual[#Headers],0))</calculatedColumnFormula>
    </tableColumn>
    <tableColumn id="13" xr3:uid="{00000000-0010-0000-0800-00000D000000}" name="דצמ" totalsRowFunction="sum" dataDxfId="156" totalsRowDxfId="155">
      <calculatedColumnFormula>INDEX(EmployeePlan[],MATCH(INDEX(EmployeeVariances[],ROW()-ROW(EmployeeVariances[[#Headers],[דצמ]]),1),INDEX(EmployeePlan[],,1),0),MATCH(EmployeeVariances[[#Headers],[דצמ]],EmployeePlan[#Headers],0))-INDEX(EmployeeActual[],MATCH(INDEX(EmployeeVariances[],ROW()-ROW(EmployeeVariances[[#Headers],[דצמ]]),1),INDEX(EmployeePlan[],,1),0),MATCH(EmployeeVariances[[#Headers],[דצמ]],EmployeeActual[#Headers],0))</calculatedColumnFormula>
    </tableColumn>
    <tableColumn id="14" xr3:uid="{00000000-0010-0000-0800-00000E000000}" name="שנה" totalsRowFunction="sum" dataDxfId="154" totalsRowDxfId="153">
      <calculatedColumnFormula>SUM(EmployeeVariances[[#This Row],[ינו]:[דצמ]])</calculatedColumnFormula>
    </tableColumn>
  </tableColumns>
  <tableStyleInfo name="TableStyleLight8" showFirstColumn="1" showLastColumn="0" showRowStripes="0" showColumnStripes="0"/>
  <extLst>
    <ext xmlns:x14="http://schemas.microsoft.com/office/spreadsheetml/2009/9/main" uri="{504A1905-F514-4f6f-8877-14C23A59335A}">
      <x14:table altTextSummary="השונות בעלויות העובדים בכל חודש מחושבת באופן אוטומטי בטבלה זו"/>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OfficeVariances" displayName="OfficeVariances" ref="B10:O19" totalsRowCount="1" headerRowDxfId="152" dataDxfId="150" totalsRowDxfId="148" headerRowBorderDxfId="151" tableBorderDxfId="149" totalsRowBorderDxfId="147">
  <autoFilter ref="B10:O18"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900-000001000000}" name="עלויות משרדיות" totalsRowLabel="סכום ביניים" dataDxfId="146" totalsRowDxfId="145"/>
    <tableColumn id="2" xr3:uid="{00000000-0010-0000-0900-000002000000}" name="ינו" totalsRowFunction="sum" dataDxfId="144" totalsRowDxfId="143">
      <calculatedColumnFormula>INDEX(OfficePlan[],MATCH(INDEX(OfficeVariances[],ROW()-ROW(OfficeVariances[[#Headers],[ינו]]),1),INDEX(OfficePlan[],,1),0),MATCH(OfficeVariances[[#Headers],[ינו]],OfficePlan[#Headers],0))-INDEX(OfficeActual[],MATCH(INDEX(OfficeVariances[],ROW()-ROW(OfficeVariances[[#Headers],[ינו]]),1),INDEX(OfficePlan[],,1),0),MATCH(OfficeVariances[[#Headers],[ינו]],OfficeActual[#Headers],0))</calculatedColumnFormula>
    </tableColumn>
    <tableColumn id="3" xr3:uid="{00000000-0010-0000-0900-000003000000}" name="פבר" totalsRowFunction="sum" dataDxfId="142" totalsRowDxfId="141">
      <calculatedColumnFormula>INDEX(OfficePlan[],MATCH(INDEX(OfficeVariances[],ROW()-ROW(OfficeVariances[[#Headers],[פבר]]),1),INDEX(OfficePlan[],,1),0),MATCH(OfficeVariances[[#Headers],[פבר]],OfficePlan[#Headers],0))-INDEX(OfficeActual[],MATCH(INDEX(OfficeVariances[],ROW()-ROW(OfficeVariances[[#Headers],[פבר]]),1),INDEX(OfficePlan[],,1),0),MATCH(OfficeVariances[[#Headers],[פבר]],OfficeActual[#Headers],0))</calculatedColumnFormula>
    </tableColumn>
    <tableColumn id="4" xr3:uid="{00000000-0010-0000-0900-000004000000}" name="מרץ" totalsRowFunction="sum" dataDxfId="140" totalsRowDxfId="139">
      <calculatedColumnFormula>INDEX(OfficePlan[],MATCH(INDEX(OfficeVariances[],ROW()-ROW(OfficeVariances[[#Headers],[מרץ]]),1),INDEX(OfficePlan[],,1),0),MATCH(OfficeVariances[[#Headers],[מרץ]],OfficePlan[#Headers],0))-INDEX(OfficeActual[],MATCH(INDEX(OfficeVariances[],ROW()-ROW(OfficeVariances[[#Headers],[מרץ]]),1),INDEX(OfficePlan[],,1),0),MATCH(OfficeVariances[[#Headers],[מרץ]],OfficeActual[#Headers],0))</calculatedColumnFormula>
    </tableColumn>
    <tableColumn id="5" xr3:uid="{00000000-0010-0000-0900-000005000000}" name="אפר" totalsRowFunction="sum" dataDxfId="138" totalsRowDxfId="137">
      <calculatedColumnFormula>INDEX(OfficePlan[],MATCH(INDEX(OfficeVariances[],ROW()-ROW(OfficeVariances[[#Headers],[אפר]]),1),INDEX(OfficePlan[],,1),0),MATCH(OfficeVariances[[#Headers],[אפר]],OfficePlan[#Headers],0))-INDEX(OfficeActual[],MATCH(INDEX(OfficeVariances[],ROW()-ROW(OfficeVariances[[#Headers],[אפר]]),1),INDEX(OfficePlan[],,1),0),MATCH(OfficeVariances[[#Headers],[אפר]],OfficeActual[#Headers],0))</calculatedColumnFormula>
    </tableColumn>
    <tableColumn id="6" xr3:uid="{00000000-0010-0000-0900-000006000000}" name="מאי" totalsRowFunction="sum" dataDxfId="136" totalsRowDxfId="135">
      <calculatedColumnFormula>INDEX(OfficePlan[],MATCH(INDEX(OfficeVariances[],ROW()-ROW(OfficeVariances[[#Headers],[מאי]]),1),INDEX(OfficePlan[],,1),0),MATCH(OfficeVariances[[#Headers],[מאי]],OfficePlan[#Headers],0))-INDEX(OfficeActual[],MATCH(INDEX(OfficeVariances[],ROW()-ROW(OfficeVariances[[#Headers],[מאי]]),1),INDEX(OfficePlan[],,1),0),MATCH(OfficeVariances[[#Headers],[מאי]],OfficeActual[#Headers],0))</calculatedColumnFormula>
    </tableColumn>
    <tableColumn id="7" xr3:uid="{00000000-0010-0000-0900-000007000000}" name="יונ" totalsRowFunction="sum" dataDxfId="134" totalsRowDxfId="133">
      <calculatedColumnFormula>INDEX(OfficePlan[],MATCH(INDEX(OfficeVariances[],ROW()-ROW(OfficeVariances[[#Headers],[יונ]]),1),INDEX(OfficePlan[],,1),0),MATCH(OfficeVariances[[#Headers],[יונ]],OfficePlan[#Headers],0))-INDEX(OfficeActual[],MATCH(INDEX(OfficeVariances[],ROW()-ROW(OfficeVariances[[#Headers],[יונ]]),1),INDEX(OfficePlan[],,1),0),MATCH(OfficeVariances[[#Headers],[יונ]],OfficeActual[#Headers],0))</calculatedColumnFormula>
    </tableColumn>
    <tableColumn id="8" xr3:uid="{00000000-0010-0000-0900-000008000000}" name="יול" totalsRowFunction="sum" dataDxfId="132" totalsRowDxfId="131">
      <calculatedColumnFormula>INDEX(OfficePlan[],MATCH(INDEX(OfficeVariances[],ROW()-ROW(OfficeVariances[[#Headers],[יול]]),1),INDEX(OfficePlan[],,1),0),MATCH(OfficeVariances[[#Headers],[יול]],OfficePlan[#Headers],0))-INDEX(OfficeActual[],MATCH(INDEX(OfficeVariances[],ROW()-ROW(OfficeVariances[[#Headers],[יול]]),1),INDEX(OfficePlan[],,1),0),MATCH(OfficeVariances[[#Headers],[יול]],OfficeActual[#Headers],0))</calculatedColumnFormula>
    </tableColumn>
    <tableColumn id="9" xr3:uid="{00000000-0010-0000-0900-000009000000}" name="אוג" totalsRowFunction="sum" dataDxfId="130" totalsRowDxfId="129">
      <calculatedColumnFormula>INDEX(OfficePlan[],MATCH(INDEX(OfficeVariances[],ROW()-ROW(OfficeVariances[[#Headers],[אוג]]),1),INDEX(OfficePlan[],,1),0),MATCH(OfficeVariances[[#Headers],[אוג]],OfficePlan[#Headers],0))-INDEX(OfficeActual[],MATCH(INDEX(OfficeVariances[],ROW()-ROW(OfficeVariances[[#Headers],[אוג]]),1),INDEX(OfficePlan[],,1),0),MATCH(OfficeVariances[[#Headers],[אוג]],OfficeActual[#Headers],0))</calculatedColumnFormula>
    </tableColumn>
    <tableColumn id="10" xr3:uid="{00000000-0010-0000-0900-00000A000000}" name="ספט" totalsRowFunction="sum" dataDxfId="128" totalsRowDxfId="127">
      <calculatedColumnFormula>INDEX(OfficePlan[],MATCH(INDEX(OfficeVariances[],ROW()-ROW(OfficeVariances[[#Headers],[ספט]]),1),INDEX(OfficePlan[],,1),0),MATCH(OfficeVariances[[#Headers],[ספט]],OfficePlan[#Headers],0))-INDEX(OfficeActual[],MATCH(INDEX(OfficeVariances[],ROW()-ROW(OfficeVariances[[#Headers],[ספט]]),1),INDEX(OfficePlan[],,1),0),MATCH(OfficeVariances[[#Headers],[ספט]],OfficeActual[#Headers],0))</calculatedColumnFormula>
    </tableColumn>
    <tableColumn id="11" xr3:uid="{00000000-0010-0000-0900-00000B000000}" name="אוק" totalsRowFunction="sum" dataDxfId="126" totalsRowDxfId="125">
      <calculatedColumnFormula>INDEX(OfficePlan[],MATCH(INDEX(OfficeVariances[],ROW()-ROW(OfficeVariances[[#Headers],[אוק]]),1),INDEX(OfficePlan[],,1),0),MATCH(OfficeVariances[[#Headers],[אוק]],OfficePlan[#Headers],0))-INDEX(OfficeActual[],MATCH(INDEX(OfficeVariances[],ROW()-ROW(OfficeVariances[[#Headers],[אוק]]),1),INDEX(OfficePlan[],,1),0),MATCH(OfficeVariances[[#Headers],[אוק]],OfficeActual[#Headers],0))</calculatedColumnFormula>
    </tableColumn>
    <tableColumn id="12" xr3:uid="{00000000-0010-0000-0900-00000C000000}" name="נוב" totalsRowFunction="sum" dataDxfId="124" totalsRowDxfId="123">
      <calculatedColumnFormula>INDEX(OfficePlan[],MATCH(INDEX(OfficeVariances[],ROW()-ROW(OfficeVariances[[#Headers],[נוב]]),1),INDEX(OfficePlan[],,1),0),MATCH(OfficeVariances[[#Headers],[נוב]],OfficePlan[#Headers],0))-INDEX(OfficeActual[],MATCH(INDEX(OfficeVariances[],ROW()-ROW(OfficeVariances[[#Headers],[נוב]]),1),INDEX(OfficePlan[],,1),0),MATCH(OfficeVariances[[#Headers],[נוב]],OfficeActual[#Headers],0))</calculatedColumnFormula>
    </tableColumn>
    <tableColumn id="13" xr3:uid="{00000000-0010-0000-0900-00000D000000}" name="דצמ" totalsRowFunction="sum" dataDxfId="122" totalsRowDxfId="121">
      <calculatedColumnFormula>INDEX(OfficePlan[],MATCH(INDEX(OfficeVariances[],ROW()-ROW(OfficeVariances[[#Headers],[דצמ]]),1),INDEX(OfficePlan[],,1),0),MATCH(OfficeVariances[[#Headers],[דצמ]],OfficePlan[#Headers],0))-INDEX(OfficeActual[],MATCH(INDEX(OfficeVariances[],ROW()-ROW(OfficeVariances[[#Headers],[דצמ]]),1),INDEX(OfficePlan[],,1),0),MATCH(OfficeVariances[[#Headers],[דצמ]],OfficeActual[#Headers],0))</calculatedColumnFormula>
    </tableColumn>
    <tableColumn id="14" xr3:uid="{00000000-0010-0000-0900-00000E000000}" name="שנה" totalsRowFunction="sum" dataDxfId="120" totalsRowDxfId="119">
      <calculatedColumnFormula>SUM(OfficeVariances[[#This Row],[ינו]:[דצמ]])</calculatedColumnFormula>
    </tableColumn>
  </tableColumns>
  <tableStyleInfo name="TableStyleLight8" showFirstColumn="1" showLastColumn="1" showRowStripes="0" showColumnStripes="0"/>
  <extLst>
    <ext xmlns:x14="http://schemas.microsoft.com/office/spreadsheetml/2009/9/main" uri="{504A1905-F514-4f6f-8877-14C23A59335A}">
      <x14:table altTextSummary="השונות בעלויות המשרדיות בכל חודש מחושבת באופן אוטומטי בטבלה זו"/>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MarketingVariances" displayName="MarketingVariances" ref="B21:O28" totalsRowCount="1" headerRowDxfId="118" dataDxfId="116" totalsRowDxfId="114" headerRowBorderDxfId="117" tableBorderDxfId="115" totalsRowBorderDxfId="113">
  <autoFilter ref="B21:O27"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A00-000001000000}" name="עלויות שיווק" totalsRowLabel="סכום ביניים" dataDxfId="112" totalsRowDxfId="111"/>
    <tableColumn id="2" xr3:uid="{00000000-0010-0000-0A00-000002000000}" name="ינו" totalsRowFunction="sum" dataDxfId="110" totalsRowDxfId="109">
      <calculatedColumnFormula>INDEX(MarketingPlan[],MATCH(INDEX(MarketingVariances[],ROW()-ROW(MarketingVariances[[#Headers],[ינו]]),1),INDEX(MarketingPlan[],,1),0),MATCH(MarketingVariances[[#Headers],[ינו]],MarketingPlan[#Headers],0))-INDEX(MarketingActual[],MATCH(INDEX(MarketingVariances[],ROW()-ROW(MarketingVariances[[#Headers],[ינו]]),1),INDEX(MarketingPlan[],,1),0),MATCH(MarketingVariances[[#Headers],[ינו]],MarketingActual[#Headers],0))</calculatedColumnFormula>
    </tableColumn>
    <tableColumn id="3" xr3:uid="{00000000-0010-0000-0A00-000003000000}" name="פבר" totalsRowFunction="sum" dataDxfId="108" totalsRowDxfId="107">
      <calculatedColumnFormula>INDEX(MarketingPlan[],MATCH(INDEX(MarketingVariances[],ROW()-ROW(MarketingVariances[[#Headers],[פבר]]),1),INDEX(MarketingPlan[],,1),0),MATCH(MarketingVariances[[#Headers],[פבר]],MarketingPlan[#Headers],0))-INDEX(MarketingActual[],MATCH(INDEX(MarketingVariances[],ROW()-ROW(MarketingVariances[[#Headers],[פבר]]),1),INDEX(MarketingPlan[],,1),0),MATCH(MarketingVariances[[#Headers],[פבר]],MarketingActual[#Headers],0))</calculatedColumnFormula>
    </tableColumn>
    <tableColumn id="4" xr3:uid="{00000000-0010-0000-0A00-000004000000}" name="מרץ" totalsRowFunction="sum" dataDxfId="106" totalsRowDxfId="105">
      <calculatedColumnFormula>INDEX(MarketingPlan[],MATCH(INDEX(MarketingVariances[],ROW()-ROW(MarketingVariances[[#Headers],[מרץ]]),1),INDEX(MarketingPlan[],,1),0),MATCH(MarketingVariances[[#Headers],[מרץ]],MarketingPlan[#Headers],0))-INDEX(MarketingActual[],MATCH(INDEX(MarketingVariances[],ROW()-ROW(MarketingVariances[[#Headers],[מרץ]]),1),INDEX(MarketingPlan[],,1),0),MATCH(MarketingVariances[[#Headers],[מרץ]],MarketingActual[#Headers],0))</calculatedColumnFormula>
    </tableColumn>
    <tableColumn id="5" xr3:uid="{00000000-0010-0000-0A00-000005000000}" name="אפר" totalsRowFunction="sum" dataDxfId="104" totalsRowDxfId="103">
      <calculatedColumnFormula>INDEX(MarketingPlan[],MATCH(INDEX(MarketingVariances[],ROW()-ROW(MarketingVariances[[#Headers],[אפר]]),1),INDEX(MarketingPlan[],,1),0),MATCH(MarketingVariances[[#Headers],[אפר]],MarketingPlan[#Headers],0))-INDEX(MarketingActual[],MATCH(INDEX(MarketingVariances[],ROW()-ROW(MarketingVariances[[#Headers],[אפר]]),1),INDEX(MarketingPlan[],,1),0),MATCH(MarketingVariances[[#Headers],[אפר]],MarketingActual[#Headers],0))</calculatedColumnFormula>
    </tableColumn>
    <tableColumn id="6" xr3:uid="{00000000-0010-0000-0A00-000006000000}" name="מאי" totalsRowFunction="sum" dataDxfId="102" totalsRowDxfId="101">
      <calculatedColumnFormula>INDEX(MarketingPlan[],MATCH(INDEX(MarketingVariances[],ROW()-ROW(MarketingVariances[[#Headers],[מאי]]),1),INDEX(MarketingPlan[],,1),0),MATCH(MarketingVariances[[#Headers],[מאי]],MarketingPlan[#Headers],0))-INDEX(MarketingActual[],MATCH(INDEX(MarketingVariances[],ROW()-ROW(MarketingVariances[[#Headers],[מאי]]),1),INDEX(MarketingPlan[],,1),0),MATCH(MarketingVariances[[#Headers],[מאי]],MarketingActual[#Headers],0))</calculatedColumnFormula>
    </tableColumn>
    <tableColumn id="7" xr3:uid="{00000000-0010-0000-0A00-000007000000}" name="יונ" totalsRowFunction="sum" dataDxfId="100" totalsRowDxfId="99">
      <calculatedColumnFormula>INDEX(MarketingPlan[],MATCH(INDEX(MarketingVariances[],ROW()-ROW(MarketingVariances[[#Headers],[יונ]]),1),INDEX(MarketingPlan[],,1),0),MATCH(MarketingVariances[[#Headers],[יונ]],MarketingPlan[#Headers],0))-INDEX(MarketingActual[],MATCH(INDEX(MarketingVariances[],ROW()-ROW(MarketingVariances[[#Headers],[יונ]]),1),INDEX(MarketingPlan[],,1),0),MATCH(MarketingVariances[[#Headers],[יונ]],MarketingActual[#Headers],0))</calculatedColumnFormula>
    </tableColumn>
    <tableColumn id="8" xr3:uid="{00000000-0010-0000-0A00-000008000000}" name="יול" totalsRowFunction="sum" dataDxfId="98" totalsRowDxfId="97">
      <calculatedColumnFormula>INDEX(MarketingPlan[],MATCH(INDEX(MarketingVariances[],ROW()-ROW(MarketingVariances[[#Headers],[יול]]),1),INDEX(MarketingPlan[],,1),0),MATCH(MarketingVariances[[#Headers],[יול]],MarketingPlan[#Headers],0))-INDEX(MarketingActual[],MATCH(INDEX(MarketingVariances[],ROW()-ROW(MarketingVariances[[#Headers],[יול]]),1),INDEX(MarketingPlan[],,1),0),MATCH(MarketingVariances[[#Headers],[יול]],MarketingActual[#Headers],0))</calculatedColumnFormula>
    </tableColumn>
    <tableColumn id="9" xr3:uid="{00000000-0010-0000-0A00-000009000000}" name="אוג" totalsRowFunction="sum" dataDxfId="96" totalsRowDxfId="95">
      <calculatedColumnFormula>INDEX(MarketingPlan[],MATCH(INDEX(MarketingVariances[],ROW()-ROW(MarketingVariances[[#Headers],[אוג]]),1),INDEX(MarketingPlan[],,1),0),MATCH(MarketingVariances[[#Headers],[אוג]],MarketingPlan[#Headers],0))-INDEX(MarketingActual[],MATCH(INDEX(MarketingVariances[],ROW()-ROW(MarketingVariances[[#Headers],[אוג]]),1),INDEX(MarketingPlan[],,1),0),MATCH(MarketingVariances[[#Headers],[אוג]],MarketingActual[#Headers],0))</calculatedColumnFormula>
    </tableColumn>
    <tableColumn id="10" xr3:uid="{00000000-0010-0000-0A00-00000A000000}" name="ספט" totalsRowFunction="sum" dataDxfId="94" totalsRowDxfId="93">
      <calculatedColumnFormula>INDEX(MarketingPlan[],MATCH(INDEX(MarketingVariances[],ROW()-ROW(MarketingVariances[[#Headers],[ספט]]),1),INDEX(MarketingPlan[],,1),0),MATCH(MarketingVariances[[#Headers],[ספט]],MarketingPlan[#Headers],0))-INDEX(MarketingActual[],MATCH(INDEX(MarketingVariances[],ROW()-ROW(MarketingVariances[[#Headers],[ספט]]),1),INDEX(MarketingPlan[],,1),0),MATCH(MarketingVariances[[#Headers],[ספט]],MarketingActual[#Headers],0))</calculatedColumnFormula>
    </tableColumn>
    <tableColumn id="11" xr3:uid="{00000000-0010-0000-0A00-00000B000000}" name="אוק" totalsRowFunction="sum" dataDxfId="92" totalsRowDxfId="91">
      <calculatedColumnFormula>INDEX(MarketingPlan[],MATCH(INDEX(MarketingVariances[],ROW()-ROW(MarketingVariances[[#Headers],[אוק]]),1),INDEX(MarketingPlan[],,1),0),MATCH(MarketingVariances[[#Headers],[אוק]],MarketingPlan[#Headers],0))-INDEX(MarketingActual[],MATCH(INDEX(MarketingVariances[],ROW()-ROW(MarketingVariances[[#Headers],[אוק]]),1),INDEX(MarketingPlan[],,1),0),MATCH(MarketingVariances[[#Headers],[אוק]],MarketingActual[#Headers],0))</calculatedColumnFormula>
    </tableColumn>
    <tableColumn id="12" xr3:uid="{00000000-0010-0000-0A00-00000C000000}" name="נוב" totalsRowFunction="sum" dataDxfId="90" totalsRowDxfId="89">
      <calculatedColumnFormula>INDEX(MarketingPlan[],MATCH(INDEX(MarketingVariances[],ROW()-ROW(MarketingVariances[[#Headers],[נוב]]),1),INDEX(MarketingPlan[],,1),0),MATCH(MarketingVariances[[#Headers],[נוב]],MarketingPlan[#Headers],0))-INDEX(MarketingActual[],MATCH(INDEX(MarketingVariances[],ROW()-ROW(MarketingVariances[[#Headers],[נוב]]),1),INDEX(MarketingPlan[],,1),0),MATCH(MarketingVariances[[#Headers],[נוב]],MarketingActual[#Headers],0))</calculatedColumnFormula>
    </tableColumn>
    <tableColumn id="13" xr3:uid="{00000000-0010-0000-0A00-00000D000000}" name="דצמ" totalsRowFunction="sum" dataDxfId="88" totalsRowDxfId="87">
      <calculatedColumnFormula>INDEX(MarketingPlan[],MATCH(INDEX(MarketingVariances[],ROW()-ROW(MarketingVariances[[#Headers],[דצמ]]),1),INDEX(MarketingPlan[],,1),0),MATCH(MarketingVariances[[#Headers],[דצמ]],MarketingPlan[#Headers],0))-INDEX(MarketingActual[],MATCH(INDEX(MarketingVariances[],ROW()-ROW(MarketingVariances[[#Headers],[דצמ]]),1),INDEX(MarketingPlan[],,1),0),MATCH(MarketingVariances[[#Headers],[דצמ]],MarketingActual[#Headers],0))</calculatedColumnFormula>
    </tableColumn>
    <tableColumn id="14" xr3:uid="{00000000-0010-0000-0A00-00000E000000}" name="שנה" totalsRowFunction="sum" dataDxfId="86" totalsRowDxfId="85">
      <calculatedColumnFormula>SUM(MarketingVariances[[#This Row],[ינו]:[דצמ]])</calculatedColumnFormula>
    </tableColumn>
  </tableColumns>
  <tableStyleInfo name="TableStyleLight8" showFirstColumn="1" showLastColumn="1" showRowStripes="0" showColumnStripes="0"/>
  <extLst>
    <ext xmlns:x14="http://schemas.microsoft.com/office/spreadsheetml/2009/9/main" uri="{504A1905-F514-4f6f-8877-14C23A59335A}">
      <x14:table altTextSummary="השונות בעלויות השיווק בכל חודש מחושבת באופן אוטומטי בטבלה זו"/>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rainingAndTravelVariances" displayName="TrainingAndTravelVariances" ref="B30:O33" totalsRowCount="1" headerRowDxfId="84" dataDxfId="82" totalsRowDxfId="80" headerRowBorderDxfId="83" tableBorderDxfId="81" totalsRowBorderDxfId="79">
  <autoFilter ref="B30:O32"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B00-000001000000}" name="הדרכה/נסיעה" totalsRowLabel="סכום ביניים" dataDxfId="78" totalsRowDxfId="77"/>
    <tableColumn id="2" xr3:uid="{00000000-0010-0000-0B00-000002000000}" name="ינו" totalsRowFunction="sum" dataDxfId="76" totalsRowDxfId="75">
      <calculatedColumnFormula>INDEX(TrainingAndTravelPlan[],MATCH(INDEX(TrainingAndTravelVariances[],ROW()-ROW(TrainingAndTravelVariances[[#Headers],[ינו]]),1),INDEX(TrainingAndTravelPlan[],,1),0),MATCH(TrainingAndTravelVariances[[#Headers],[ינו]],TrainingAndTravelPlan[#Headers],0))-INDEX(TrainingAndTravelActual[],MATCH(INDEX(TrainingAndTravelVariances[],ROW()-ROW(TrainingAndTravelVariances[[#Headers],[ינו]]),1),INDEX(TrainingAndTravelPlan[],,1),0),MATCH(TrainingAndTravelVariances[[#Headers],[ינו]],TrainingAndTravelActual[#Headers],0))</calculatedColumnFormula>
    </tableColumn>
    <tableColumn id="3" xr3:uid="{00000000-0010-0000-0B00-000003000000}" name="פבר" totalsRowFunction="sum" dataDxfId="74" totalsRowDxfId="73">
      <calculatedColumnFormula>INDEX(TrainingAndTravelPlan[],MATCH(INDEX(TrainingAndTravelVariances[],ROW()-ROW(TrainingAndTravelVariances[[#Headers],[פבר]]),1),INDEX(TrainingAndTravelPlan[],,1),0),MATCH(TrainingAndTravelVariances[[#Headers],[פבר]],TrainingAndTravelPlan[#Headers],0))-INDEX(TrainingAndTravelActual[],MATCH(INDEX(TrainingAndTravelVariances[],ROW()-ROW(TrainingAndTravelVariances[[#Headers],[פבר]]),1),INDEX(TrainingAndTravelPlan[],,1),0),MATCH(TrainingAndTravelVariances[[#Headers],[פבר]],TrainingAndTravelActual[#Headers],0))</calculatedColumnFormula>
    </tableColumn>
    <tableColumn id="4" xr3:uid="{00000000-0010-0000-0B00-000004000000}" name="מרץ" totalsRowFunction="sum" dataDxfId="72" totalsRowDxfId="71">
      <calculatedColumnFormula>INDEX(TrainingAndTravelPlan[],MATCH(INDEX(TrainingAndTravelVariances[],ROW()-ROW(TrainingAndTravelVariances[[#Headers],[מרץ]]),1),INDEX(TrainingAndTravelPlan[],,1),0),MATCH(TrainingAndTravelVariances[[#Headers],[מרץ]],TrainingAndTravelPlan[#Headers],0))-INDEX(TrainingAndTravelActual[],MATCH(INDEX(TrainingAndTravelVariances[],ROW()-ROW(TrainingAndTravelVariances[[#Headers],[מרץ]]),1),INDEX(TrainingAndTravelPlan[],,1),0),MATCH(TrainingAndTravelVariances[[#Headers],[מרץ]],TrainingAndTravelActual[#Headers],0))</calculatedColumnFormula>
    </tableColumn>
    <tableColumn id="5" xr3:uid="{00000000-0010-0000-0B00-000005000000}" name="אפר" totalsRowFunction="sum" dataDxfId="70" totalsRowDxfId="69">
      <calculatedColumnFormula>INDEX(TrainingAndTravelPlan[],MATCH(INDEX(TrainingAndTravelVariances[],ROW()-ROW(TrainingAndTravelVariances[[#Headers],[אפר]]),1),INDEX(TrainingAndTravelPlan[],,1),0),MATCH(TrainingAndTravelVariances[[#Headers],[אפר]],TrainingAndTravelPlan[#Headers],0))-INDEX(TrainingAndTravelActual[],MATCH(INDEX(TrainingAndTravelVariances[],ROW()-ROW(TrainingAndTravelVariances[[#Headers],[אפר]]),1),INDEX(TrainingAndTravelPlan[],,1),0),MATCH(TrainingAndTravelVariances[[#Headers],[אפר]],TrainingAndTravelActual[#Headers],0))</calculatedColumnFormula>
    </tableColumn>
    <tableColumn id="6" xr3:uid="{00000000-0010-0000-0B00-000006000000}" name="מאי" totalsRowFunction="sum" dataDxfId="68" totalsRowDxfId="67">
      <calculatedColumnFormula>INDEX(TrainingAndTravelPlan[],MATCH(INDEX(TrainingAndTravelVariances[],ROW()-ROW(TrainingAndTravelVariances[[#Headers],[מאי]]),1),INDEX(TrainingAndTravelPlan[],,1),0),MATCH(TrainingAndTravelVariances[[#Headers],[מאי]],TrainingAndTravelPlan[#Headers],0))-INDEX(TrainingAndTravelActual[],MATCH(INDEX(TrainingAndTravelVariances[],ROW()-ROW(TrainingAndTravelVariances[[#Headers],[מאי]]),1),INDEX(TrainingAndTravelPlan[],,1),0),MATCH(TrainingAndTravelVariances[[#Headers],[מאי]],TrainingAndTravelActual[#Headers],0))</calculatedColumnFormula>
    </tableColumn>
    <tableColumn id="7" xr3:uid="{00000000-0010-0000-0B00-000007000000}" name="יונ" totalsRowFunction="sum" dataDxfId="66" totalsRowDxfId="65">
      <calculatedColumnFormula>INDEX(TrainingAndTravelPlan[],MATCH(INDEX(TrainingAndTravelVariances[],ROW()-ROW(TrainingAndTravelVariances[[#Headers],[יונ]]),1),INDEX(TrainingAndTravelPlan[],,1),0),MATCH(TrainingAndTravelVariances[[#Headers],[יונ]],TrainingAndTravelPlan[#Headers],0))-INDEX(TrainingAndTravelActual[],MATCH(INDEX(TrainingAndTravelVariances[],ROW()-ROW(TrainingAndTravelVariances[[#Headers],[יונ]]),1),INDEX(TrainingAndTravelPlan[],,1),0),MATCH(TrainingAndTravelVariances[[#Headers],[יונ]],TrainingAndTravelActual[#Headers],0))</calculatedColumnFormula>
    </tableColumn>
    <tableColumn id="8" xr3:uid="{00000000-0010-0000-0B00-000008000000}" name="יול" totalsRowFunction="sum" dataDxfId="64" totalsRowDxfId="63">
      <calculatedColumnFormula>INDEX(TrainingAndTravelPlan[],MATCH(INDEX(TrainingAndTravelVariances[],ROW()-ROW(TrainingAndTravelVariances[[#Headers],[יול]]),1),INDEX(TrainingAndTravelPlan[],,1),0),MATCH(TrainingAndTravelVariances[[#Headers],[יול]],TrainingAndTravelPlan[#Headers],0))-INDEX(TrainingAndTravelActual[],MATCH(INDEX(TrainingAndTravelVariances[],ROW()-ROW(TrainingAndTravelVariances[[#Headers],[יול]]),1),INDEX(TrainingAndTravelPlan[],,1),0),MATCH(TrainingAndTravelVariances[[#Headers],[יול]],TrainingAndTravelActual[#Headers],0))</calculatedColumnFormula>
    </tableColumn>
    <tableColumn id="9" xr3:uid="{00000000-0010-0000-0B00-000009000000}" name="אוג" totalsRowFunction="sum" dataDxfId="62" totalsRowDxfId="61">
      <calculatedColumnFormula>INDEX(TrainingAndTravelPlan[],MATCH(INDEX(TrainingAndTravelVariances[],ROW()-ROW(TrainingAndTravelVariances[[#Headers],[אוג]]),1),INDEX(TrainingAndTravelPlan[],,1),0),MATCH(TrainingAndTravelVariances[[#Headers],[אוג]],TrainingAndTravelPlan[#Headers],0))-INDEX(TrainingAndTravelActual[],MATCH(INDEX(TrainingAndTravelVariances[],ROW()-ROW(TrainingAndTravelVariances[[#Headers],[אוג]]),1),INDEX(TrainingAndTravelPlan[],,1),0),MATCH(TrainingAndTravelVariances[[#Headers],[אוג]],TrainingAndTravelActual[#Headers],0))</calculatedColumnFormula>
    </tableColumn>
    <tableColumn id="10" xr3:uid="{00000000-0010-0000-0B00-00000A000000}" name="ספט" totalsRowFunction="sum" dataDxfId="60" totalsRowDxfId="59">
      <calculatedColumnFormula>INDEX(TrainingAndTravelPlan[],MATCH(INDEX(TrainingAndTravelVariances[],ROW()-ROW(TrainingAndTravelVariances[[#Headers],[ספט]]),1),INDEX(TrainingAndTravelPlan[],,1),0),MATCH(TrainingAndTravelVariances[[#Headers],[ספט]],TrainingAndTravelPlan[#Headers],0))-INDEX(TrainingAndTravelActual[],MATCH(INDEX(TrainingAndTravelVariances[],ROW()-ROW(TrainingAndTravelVariances[[#Headers],[ספט]]),1),INDEX(TrainingAndTravelPlan[],,1),0),MATCH(TrainingAndTravelVariances[[#Headers],[ספט]],TrainingAndTravelActual[#Headers],0))</calculatedColumnFormula>
    </tableColumn>
    <tableColumn id="11" xr3:uid="{00000000-0010-0000-0B00-00000B000000}" name="אוק" totalsRowFunction="sum" dataDxfId="58" totalsRowDxfId="57">
      <calculatedColumnFormula>INDEX(TrainingAndTravelPlan[],MATCH(INDEX(TrainingAndTravelVariances[],ROW()-ROW(TrainingAndTravelVariances[[#Headers],[אוק]]),1),INDEX(TrainingAndTravelPlan[],,1),0),MATCH(TrainingAndTravelVariances[[#Headers],[אוק]],TrainingAndTravelPlan[#Headers],0))-INDEX(TrainingAndTravelActual[],MATCH(INDEX(TrainingAndTravelVariances[],ROW()-ROW(TrainingAndTravelVariances[[#Headers],[אוק]]),1),INDEX(TrainingAndTravelPlan[],,1),0),MATCH(TrainingAndTravelVariances[[#Headers],[אוק]],TrainingAndTravelActual[#Headers],0))</calculatedColumnFormula>
    </tableColumn>
    <tableColumn id="12" xr3:uid="{00000000-0010-0000-0B00-00000C000000}" name="נוב" totalsRowFunction="sum" dataDxfId="56" totalsRowDxfId="55">
      <calculatedColumnFormula>INDEX(TrainingAndTravelPlan[],MATCH(INDEX(TrainingAndTravelVariances[],ROW()-ROW(TrainingAndTravelVariances[[#Headers],[נוב]]),1),INDEX(TrainingAndTravelPlan[],,1),0),MATCH(TrainingAndTravelVariances[[#Headers],[נוב]],TrainingAndTravelPlan[#Headers],0))-INDEX(TrainingAndTravelActual[],MATCH(INDEX(TrainingAndTravelVariances[],ROW()-ROW(TrainingAndTravelVariances[[#Headers],[נוב]]),1),INDEX(TrainingAndTravelPlan[],,1),0),MATCH(TrainingAndTravelVariances[[#Headers],[נוב]],TrainingAndTravelActual[#Headers],0))</calculatedColumnFormula>
    </tableColumn>
    <tableColumn id="13" xr3:uid="{00000000-0010-0000-0B00-00000D000000}" name="דצמ" totalsRowFunction="sum" dataDxfId="54" totalsRowDxfId="53">
      <calculatedColumnFormula>INDEX(TrainingAndTravelPlan[],MATCH(INDEX(TrainingAndTravelVariances[],ROW()-ROW(TrainingAndTravelVariances[[#Headers],[דצמ]]),1),INDEX(TrainingAndTravelPlan[],,1),0),MATCH(TrainingAndTravelVariances[[#Headers],[דצמ]],TrainingAndTravelPlan[#Headers],0))-INDEX(TrainingAndTravelActual[],MATCH(INDEX(TrainingAndTravelVariances[],ROW()-ROW(TrainingAndTravelVariances[[#Headers],[דצמ]]),1),INDEX(TrainingAndTravelPlan[],,1),0),MATCH(TrainingAndTravelVariances[[#Headers],[דצמ]],TrainingAndTravelActual[#Headers],0))</calculatedColumnFormula>
    </tableColumn>
    <tableColumn id="14" xr3:uid="{00000000-0010-0000-0B00-00000E000000}" name="שנה" totalsRowFunction="sum" dataDxfId="52" totalsRowDxfId="51">
      <calculatedColumnFormula>SUM(TrainingAndTravelVariances[[#This Row],[ינו]:[דצמ]])</calculatedColumnFormula>
    </tableColumn>
  </tableColumns>
  <tableStyleInfo name="TableStyleLight8" showFirstColumn="1" showLastColumn="1" showRowStripes="0" showColumnStripes="0"/>
  <extLst>
    <ext xmlns:x14="http://schemas.microsoft.com/office/spreadsheetml/2009/9/main" uri="{504A1905-F514-4f6f-8877-14C23A59335A}">
      <x14:table altTextSummary="השונות בעלויות ההדרכה והנסיעה בכל חודש מחושבת באופן אוטומטי בטבלה זו"/>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D450248-DB77-46F5-B207-E715DE10D029}" name="TotalVariances" displayName="TotalVariances" ref="B35:O37" headerRowDxfId="50" dataDxfId="49" totalsRowDxfId="47" tableBorderDxfId="48">
  <autoFilter ref="B35:O37" xr:uid="{B407F9FC-1AB0-4A37-B2B1-EDE36CD997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CA1B301-8171-4BDA-9269-D51F18A1CE72}" name="סכומים כוללים" totalsRowLabel="סה&quot;כ" dataDxfId="46" totalsRowDxfId="45"/>
    <tableColumn id="2" xr3:uid="{AE0C21A5-398B-42DE-950D-8AE4AD1A8551}" name="ינו" dataDxfId="44" totalsRowDxfId="43">
      <calculatedColumnFormula>SUM($C35:C$36)</calculatedColumnFormula>
    </tableColumn>
    <tableColumn id="3" xr3:uid="{A43B0B0E-F35F-4E04-8A0D-11BB7356D5F1}" name="פבר" dataDxfId="42" totalsRowDxfId="41">
      <calculatedColumnFormula>SUM($C35:D$36)</calculatedColumnFormula>
    </tableColumn>
    <tableColumn id="4" xr3:uid="{F14459A4-8E61-4E04-9A53-A7DA16CE366A}" name="מרץ" dataDxfId="40" totalsRowDxfId="39">
      <calculatedColumnFormula>SUM($C35:E$36)</calculatedColumnFormula>
    </tableColumn>
    <tableColumn id="5" xr3:uid="{1C90C974-8801-4A11-B3AF-1DC144BB0C14}" name="אפר" dataDxfId="38" totalsRowDxfId="37">
      <calculatedColumnFormula>SUM($C35:F$36)</calculatedColumnFormula>
    </tableColumn>
    <tableColumn id="6" xr3:uid="{C8E3F4F6-5F27-4CC7-9916-6D86833782C1}" name="מאי" dataDxfId="36" totalsRowDxfId="35">
      <calculatedColumnFormula>SUM($C35:G$36)</calculatedColumnFormula>
    </tableColumn>
    <tableColumn id="7" xr3:uid="{AF75D92B-7578-4087-BB78-DD5AD8165117}" name="יונ" dataDxfId="34" totalsRowDxfId="33">
      <calculatedColumnFormula>SUM($C35:H$36)</calculatedColumnFormula>
    </tableColumn>
    <tableColumn id="8" xr3:uid="{35F61ABA-09FB-4695-B0F5-A2C6B6580A2E}" name="יול" dataDxfId="32" totalsRowDxfId="31">
      <calculatedColumnFormula>SUM($C35:I$36)</calculatedColumnFormula>
    </tableColumn>
    <tableColumn id="9" xr3:uid="{59F62437-45DC-439F-945A-D0E79C444E8E}" name="אוג" dataDxfId="30" totalsRowDxfId="29">
      <calculatedColumnFormula>SUM($C35:J$36)</calculatedColumnFormula>
    </tableColumn>
    <tableColumn id="10" xr3:uid="{2BF9DCC5-B211-44A6-BD40-E91602CDA85C}" name="ספט" dataDxfId="28" totalsRowDxfId="27">
      <calculatedColumnFormula>SUM($C35:K$36)</calculatedColumnFormula>
    </tableColumn>
    <tableColumn id="11" xr3:uid="{4280684A-CD23-4103-8664-029757D0A2A2}" name="אוק" dataDxfId="26" totalsRowDxfId="25">
      <calculatedColumnFormula>SUM($C35:L$36)</calculatedColumnFormula>
    </tableColumn>
    <tableColumn id="12" xr3:uid="{07DED434-EC8F-4DAF-83E3-E350A33F2EAE}" name="נוב" dataDxfId="24" totalsRowDxfId="23">
      <calculatedColumnFormula>SUM($C35:M$36)</calculatedColumnFormula>
    </tableColumn>
    <tableColumn id="13" xr3:uid="{32BA0102-0F05-43CF-91BA-724F1FE01DAA}" name="דצמ" dataDxfId="22" totalsRowDxfId="21">
      <calculatedColumnFormula>SUM($C35:N$36)</calculatedColumnFormula>
    </tableColumn>
    <tableColumn id="14" xr3:uid="{57A0D710-AEB8-4057-928D-010058E02081}" name="שנה" totalsRowFunction="sum" dataDxfId="20" totalsRowDxfId="19"/>
  </tableColumns>
  <tableStyleInfo showFirstColumn="1" showLastColumn="0" showRowStripes="0" showColumnStripes="0"/>
  <extLst>
    <ext xmlns:x14="http://schemas.microsoft.com/office/spreadsheetml/2009/9/main" uri="{504A1905-F514-4f6f-8877-14C23A59335A}">
      <x14:table altTextSummary="שונות ההוצאות החודשית ושונות ההוצאות הכוללת מחושבות באופן אוטומטי בטבלה זו"/>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029F34C-CC7A-4C9E-8687-3CBA6E03BB7D}" name="Analysis" displayName="Analysis" ref="B5:F10" headerRowDxfId="18" dataDxfId="17" totalsRowDxfId="15" tableBorderDxfId="16">
  <autoFilter ref="B5:F10" xr:uid="{FF30FBEE-D7F5-45FA-A994-455B735EFD11}">
    <filterColumn colId="0" hiddenButton="1"/>
    <filterColumn colId="1" hiddenButton="1"/>
    <filterColumn colId="2" hiddenButton="1"/>
    <filterColumn colId="3" hiddenButton="1"/>
    <filterColumn colId="4" hiddenButton="1"/>
  </autoFilter>
  <tableColumns count="5">
    <tableColumn id="1" xr3:uid="{85D5DD3A-2DA8-4CC6-8C75-2348A5B1DCE5}" name="קטגוריית הוצאות" totalsRowLabel="סה&quot;כ" dataDxfId="14" totalsRowDxfId="13"/>
    <tableColumn id="2" xr3:uid="{71038352-BC76-49DD-9F6C-B394E5F033ED}" name="הוצאות מתוכננות" dataDxfId="12" totalsRowDxfId="11"/>
    <tableColumn id="3" xr3:uid="{19ED3EBC-BC10-47F6-9800-62129A32BC8E}" name="הוצאות בפועל" dataDxfId="10" totalsRowDxfId="9"/>
    <tableColumn id="4" xr3:uid="{E8D5E1DD-7CB1-4A1A-8F42-EFBF70790FE7}" name="שונות הוצאות" dataDxfId="8" totalsRowDxfId="7">
      <calculatedColumnFormula>C6-D6</calculatedColumnFormula>
    </tableColumn>
    <tableColumn id="5" xr3:uid="{47E1881E-12A2-4F0E-8364-B79F2DC5D0B1}" name="אחוז שונות" totalsRowFunction="sum" dataDxfId="6" totalsRowDxfId="5">
      <calculatedColumnFormula>E6/C6</calculatedColumnFormula>
    </tableColumn>
  </tableColumns>
  <tableStyleInfo showFirstColumn="1" showLastColumn="0" showRowStripes="0" showColumnStripes="0"/>
</table>
</file>

<file path=xl/theme/theme1.xml><?xml version="1.0" encoding="utf-8"?>
<a:theme xmlns:a="http://schemas.openxmlformats.org/drawingml/2006/main" name="Office Theme">
  <a:themeElements>
    <a:clrScheme name="Custom 25">
      <a:dk1>
        <a:sysClr val="windowText" lastClr="000000"/>
      </a:dk1>
      <a:lt1>
        <a:srgbClr val="FFFFFF"/>
      </a:lt1>
      <a:dk2>
        <a:srgbClr val="2F4B83"/>
      </a:dk2>
      <a:lt2>
        <a:srgbClr val="F2F2F2"/>
      </a:lt2>
      <a:accent1>
        <a:srgbClr val="CC1D10"/>
      </a:accent1>
      <a:accent2>
        <a:srgbClr val="357B37"/>
      </a:accent2>
      <a:accent3>
        <a:srgbClr val="34A0DC"/>
      </a:accent3>
      <a:accent4>
        <a:srgbClr val="B71F66"/>
      </a:accent4>
      <a:accent5>
        <a:srgbClr val="255D77"/>
      </a:accent5>
      <a:accent6>
        <a:srgbClr val="EF4538"/>
      </a:accent6>
      <a:hlink>
        <a:srgbClr val="7DC6F3"/>
      </a:hlink>
      <a:folHlink>
        <a:srgbClr val="7DC6F3"/>
      </a:folHlink>
    </a:clrScheme>
    <a:fontScheme name="Custom 18">
      <a:majorFont>
        <a:latin typeface="Franklin Gothic Book"/>
        <a:ea typeface=""/>
        <a:cs typeface=""/>
      </a:majorFont>
      <a:minorFont>
        <a:latin typeface="Microsoft Sans Serif"/>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652D-94A4-43B5-AFA7-1A6439101CE6}">
  <sheetPr>
    <tabColor theme="3" tint="-0.249977111117893"/>
  </sheetPr>
  <dimension ref="A1:B8"/>
  <sheetViews>
    <sheetView rightToLeft="1" workbookViewId="0"/>
  </sheetViews>
  <sheetFormatPr defaultColWidth="9" defaultRowHeight="11.25" x14ac:dyDescent="0.15"/>
  <cols>
    <col min="1" max="1" width="2.7109375" customWidth="1"/>
    <col min="2" max="2" width="75.42578125" customWidth="1"/>
    <col min="3" max="3" width="2.7109375" customWidth="1"/>
  </cols>
  <sheetData>
    <row r="1" spans="1:2" s="68" customFormat="1" ht="30" customHeight="1" x14ac:dyDescent="0.15">
      <c r="A1" s="67"/>
      <c r="B1" s="1" t="s">
        <v>0</v>
      </c>
    </row>
    <row r="2" spans="1:2" ht="36.75" customHeight="1" x14ac:dyDescent="0.15">
      <c r="A2" s="69"/>
      <c r="B2" s="2" t="s">
        <v>1</v>
      </c>
    </row>
    <row r="3" spans="1:2" ht="30" customHeight="1" x14ac:dyDescent="0.15">
      <c r="A3" s="69"/>
      <c r="B3" s="2" t="s">
        <v>2</v>
      </c>
    </row>
    <row r="4" spans="1:2" ht="40.5" customHeight="1" x14ac:dyDescent="0.15">
      <c r="A4" s="69"/>
      <c r="B4" s="2" t="s">
        <v>3</v>
      </c>
    </row>
    <row r="5" spans="1:2" ht="36" customHeight="1" x14ac:dyDescent="0.15">
      <c r="A5" s="69"/>
      <c r="B5" s="2" t="s">
        <v>4</v>
      </c>
    </row>
    <row r="6" spans="1:2" ht="36" customHeight="1" x14ac:dyDescent="0.15">
      <c r="A6" s="69"/>
      <c r="B6" s="3" t="s">
        <v>5</v>
      </c>
    </row>
    <row r="7" spans="1:2" ht="53.25" customHeight="1" x14ac:dyDescent="0.15">
      <c r="A7" s="69"/>
      <c r="B7" s="2" t="s">
        <v>6</v>
      </c>
    </row>
    <row r="8" spans="1:2" ht="40.5" customHeight="1" x14ac:dyDescent="0.2">
      <c r="A8" s="69"/>
      <c r="B8" s="4" t="s">
        <v>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pageSetUpPr autoPageBreaks="0"/>
  </sheetPr>
  <dimension ref="A1:T38"/>
  <sheetViews>
    <sheetView showGridLines="0" rightToLeft="1" tabSelected="1" topLeftCell="A3" zoomScaleNormal="100" workbookViewId="0"/>
  </sheetViews>
  <sheetFormatPr defaultColWidth="9.140625" defaultRowHeight="21" customHeight="1" x14ac:dyDescent="0.25"/>
  <cols>
    <col min="1" max="1" width="4.7109375" style="9" customWidth="1"/>
    <col min="2" max="2" width="40.5703125" style="9" customWidth="1"/>
    <col min="3" max="14" width="17.5703125" style="9" customWidth="1"/>
    <col min="15" max="15" width="18.5703125" style="9" customWidth="1"/>
    <col min="16" max="16" width="4.7109375" style="9" customWidth="1"/>
    <col min="17" max="17" width="1.7109375" style="9" customWidth="1"/>
    <col min="18" max="19" width="9.140625" style="9"/>
    <col min="20" max="20" width="11.140625" style="9" customWidth="1"/>
    <col min="21" max="16384" width="9.140625" style="9"/>
  </cols>
  <sheetData>
    <row r="1" spans="1:20" ht="24" customHeight="1" x14ac:dyDescent="0.25">
      <c r="A1" s="5"/>
      <c r="B1" s="6"/>
      <c r="C1" s="6"/>
      <c r="D1" s="6"/>
      <c r="E1" s="6"/>
      <c r="F1" s="7"/>
      <c r="G1" s="7"/>
      <c r="H1" s="7"/>
      <c r="I1" s="7"/>
      <c r="J1" s="7"/>
      <c r="K1" s="7"/>
      <c r="L1" s="7"/>
      <c r="M1" s="7"/>
      <c r="N1" s="7"/>
      <c r="O1" s="7"/>
      <c r="P1" s="8" t="s">
        <v>51</v>
      </c>
    </row>
    <row r="2" spans="1:20" ht="45" customHeight="1" x14ac:dyDescent="0.25">
      <c r="A2" s="10"/>
      <c r="B2" s="11" t="s">
        <v>8</v>
      </c>
      <c r="C2" s="11"/>
      <c r="D2" s="11"/>
      <c r="E2" s="12"/>
      <c r="F2" s="13"/>
      <c r="G2" s="13"/>
      <c r="H2" s="13"/>
      <c r="I2" s="13"/>
      <c r="J2" s="13"/>
      <c r="K2" s="128" t="s">
        <v>44</v>
      </c>
      <c r="L2" s="128"/>
      <c r="M2" s="128"/>
      <c r="N2" s="14"/>
      <c r="O2" s="14"/>
      <c r="P2" s="7"/>
    </row>
    <row r="3" spans="1:20" ht="30" customHeight="1" x14ac:dyDescent="0.25">
      <c r="A3" s="10"/>
      <c r="B3" s="11"/>
      <c r="C3" s="11"/>
      <c r="D3" s="11"/>
      <c r="E3" s="15"/>
      <c r="F3" s="16"/>
      <c r="G3" s="16"/>
      <c r="H3" s="16"/>
      <c r="I3" s="16"/>
      <c r="J3" s="16"/>
      <c r="K3" s="129" t="s">
        <v>45</v>
      </c>
      <c r="L3" s="129"/>
      <c r="M3" s="129"/>
      <c r="N3" s="14"/>
      <c r="O3" s="14"/>
      <c r="P3" s="7"/>
    </row>
    <row r="4" spans="1:20" s="20" customFormat="1" ht="49.5" customHeight="1" x14ac:dyDescent="0.25">
      <c r="A4" s="17"/>
      <c r="B4" s="18" t="s">
        <v>9</v>
      </c>
      <c r="C4" s="70" t="s">
        <v>36</v>
      </c>
      <c r="D4" s="70" t="s">
        <v>37</v>
      </c>
      <c r="E4" s="70" t="s">
        <v>38</v>
      </c>
      <c r="F4" s="70" t="s">
        <v>39</v>
      </c>
      <c r="G4" s="70" t="s">
        <v>40</v>
      </c>
      <c r="H4" s="70" t="s">
        <v>41</v>
      </c>
      <c r="I4" s="70" t="s">
        <v>42</v>
      </c>
      <c r="J4" s="70" t="s">
        <v>43</v>
      </c>
      <c r="K4" s="70" t="s">
        <v>46</v>
      </c>
      <c r="L4" s="70" t="s">
        <v>47</v>
      </c>
      <c r="M4" s="70" t="s">
        <v>48</v>
      </c>
      <c r="N4" s="70" t="s">
        <v>49</v>
      </c>
      <c r="O4" s="70" t="s">
        <v>50</v>
      </c>
      <c r="P4" s="19"/>
      <c r="R4" s="126"/>
      <c r="S4" s="127"/>
      <c r="T4" s="127"/>
    </row>
    <row r="5" spans="1:20" ht="24.95" customHeight="1" thickBot="1" x14ac:dyDescent="0.3">
      <c r="A5" s="17"/>
      <c r="B5" s="21" t="s">
        <v>10</v>
      </c>
      <c r="C5" s="71" t="s">
        <v>36</v>
      </c>
      <c r="D5" s="72" t="s">
        <v>37</v>
      </c>
      <c r="E5" s="72" t="s">
        <v>38</v>
      </c>
      <c r="F5" s="72" t="s">
        <v>39</v>
      </c>
      <c r="G5" s="72" t="s">
        <v>40</v>
      </c>
      <c r="H5" s="72" t="s">
        <v>41</v>
      </c>
      <c r="I5" s="72" t="s">
        <v>42</v>
      </c>
      <c r="J5" s="72" t="s">
        <v>43</v>
      </c>
      <c r="K5" s="72" t="s">
        <v>46</v>
      </c>
      <c r="L5" s="72" t="s">
        <v>47</v>
      </c>
      <c r="M5" s="72" t="s">
        <v>48</v>
      </c>
      <c r="N5" s="72" t="s">
        <v>49</v>
      </c>
      <c r="O5" s="73" t="s">
        <v>50</v>
      </c>
      <c r="P5" s="22"/>
      <c r="R5" s="127"/>
      <c r="S5" s="127"/>
      <c r="T5" s="127"/>
    </row>
    <row r="6" spans="1:20" ht="24.95" customHeight="1" thickBot="1" x14ac:dyDescent="0.3">
      <c r="A6" s="17"/>
      <c r="B6" s="23" t="s">
        <v>11</v>
      </c>
      <c r="C6" s="82">
        <v>85000</v>
      </c>
      <c r="D6" s="83">
        <v>85000</v>
      </c>
      <c r="E6" s="83">
        <v>85000</v>
      </c>
      <c r="F6" s="83">
        <v>87500</v>
      </c>
      <c r="G6" s="83">
        <v>87500</v>
      </c>
      <c r="H6" s="83">
        <v>87500</v>
      </c>
      <c r="I6" s="83">
        <v>87500</v>
      </c>
      <c r="J6" s="83">
        <v>92400</v>
      </c>
      <c r="K6" s="83">
        <v>92400</v>
      </c>
      <c r="L6" s="83">
        <v>92400</v>
      </c>
      <c r="M6" s="83">
        <v>92400</v>
      </c>
      <c r="N6" s="83">
        <v>92400</v>
      </c>
      <c r="O6" s="84">
        <f>SUM(C6:N6)</f>
        <v>1067000</v>
      </c>
      <c r="P6" s="22"/>
      <c r="R6" s="127"/>
      <c r="S6" s="127"/>
      <c r="T6" s="127"/>
    </row>
    <row r="7" spans="1:20" ht="24.95" customHeight="1" thickBot="1" x14ac:dyDescent="0.3">
      <c r="A7" s="17"/>
      <c r="B7" s="23" t="s">
        <v>12</v>
      </c>
      <c r="C7" s="82">
        <f t="shared" ref="C7:N7" si="0">C6*0.27</f>
        <v>22950</v>
      </c>
      <c r="D7" s="83">
        <f t="shared" si="0"/>
        <v>22950</v>
      </c>
      <c r="E7" s="83">
        <f t="shared" si="0"/>
        <v>22950</v>
      </c>
      <c r="F7" s="83">
        <f t="shared" si="0"/>
        <v>23625</v>
      </c>
      <c r="G7" s="83">
        <f t="shared" si="0"/>
        <v>23625</v>
      </c>
      <c r="H7" s="83">
        <f t="shared" si="0"/>
        <v>23625</v>
      </c>
      <c r="I7" s="83">
        <f t="shared" si="0"/>
        <v>23625</v>
      </c>
      <c r="J7" s="83">
        <f t="shared" si="0"/>
        <v>24948</v>
      </c>
      <c r="K7" s="83">
        <f t="shared" si="0"/>
        <v>24948</v>
      </c>
      <c r="L7" s="83">
        <f t="shared" si="0"/>
        <v>24948</v>
      </c>
      <c r="M7" s="83">
        <f t="shared" si="0"/>
        <v>24948</v>
      </c>
      <c r="N7" s="83">
        <f t="shared" si="0"/>
        <v>24948</v>
      </c>
      <c r="O7" s="84">
        <f>SUM(C7:N7)</f>
        <v>288090</v>
      </c>
      <c r="P7" s="22"/>
      <c r="R7" s="127"/>
      <c r="S7" s="127"/>
      <c r="T7" s="127"/>
    </row>
    <row r="8" spans="1:20" ht="24.95" customHeight="1" x14ac:dyDescent="0.25">
      <c r="A8" s="17"/>
      <c r="B8" s="24" t="s">
        <v>13</v>
      </c>
      <c r="C8" s="85">
        <f>SUBTOTAL(109,EmployeePlan[ינו])</f>
        <v>107950</v>
      </c>
      <c r="D8" s="86">
        <f>SUBTOTAL(109,EmployeePlan[פבר])</f>
        <v>107950</v>
      </c>
      <c r="E8" s="86">
        <f>SUBTOTAL(109,EmployeePlan[מרץ])</f>
        <v>107950</v>
      </c>
      <c r="F8" s="86">
        <f>SUBTOTAL(109,EmployeePlan[אפר])</f>
        <v>111125</v>
      </c>
      <c r="G8" s="86">
        <f>SUBTOTAL(109,EmployeePlan[מאי])</f>
        <v>111125</v>
      </c>
      <c r="H8" s="86">
        <f>SUBTOTAL(109,EmployeePlan[יונ])</f>
        <v>111125</v>
      </c>
      <c r="I8" s="86">
        <f>SUBTOTAL(109,EmployeePlan[יול])</f>
        <v>111125</v>
      </c>
      <c r="J8" s="86">
        <f>SUBTOTAL(109,EmployeePlan[אוג])</f>
        <v>117348</v>
      </c>
      <c r="K8" s="86">
        <f>SUBTOTAL(109,EmployeePlan[ספט])</f>
        <v>117348</v>
      </c>
      <c r="L8" s="86">
        <f>SUBTOTAL(109,EmployeePlan[אוק])</f>
        <v>117348</v>
      </c>
      <c r="M8" s="86">
        <f>SUBTOTAL(109,EmployeePlan[נוב])</f>
        <v>117348</v>
      </c>
      <c r="N8" s="86">
        <f>SUBTOTAL(109,EmployeePlan[דצמ])</f>
        <v>117348</v>
      </c>
      <c r="O8" s="87">
        <f>SUBTOTAL(109,EmployeePlan[שנה])</f>
        <v>1355090</v>
      </c>
      <c r="P8" s="22"/>
      <c r="R8" s="127"/>
      <c r="S8" s="127"/>
      <c r="T8" s="127"/>
    </row>
    <row r="9" spans="1:20" ht="21" customHeight="1" thickBot="1" x14ac:dyDescent="0.3">
      <c r="A9" s="17"/>
      <c r="B9" s="25"/>
      <c r="C9" s="25"/>
      <c r="D9" s="74"/>
      <c r="E9" s="74"/>
      <c r="F9" s="74"/>
      <c r="G9" s="74"/>
      <c r="H9" s="74"/>
      <c r="I9" s="74"/>
      <c r="J9" s="74"/>
      <c r="K9" s="74"/>
      <c r="L9" s="74"/>
      <c r="M9" s="74"/>
      <c r="N9" s="74"/>
      <c r="O9" s="75"/>
      <c r="P9" s="22"/>
      <c r="R9" s="127"/>
      <c r="S9" s="127"/>
      <c r="T9" s="127"/>
    </row>
    <row r="10" spans="1:20" ht="24.95" customHeight="1" thickBot="1" x14ac:dyDescent="0.3">
      <c r="A10" s="17"/>
      <c r="B10" s="26" t="s">
        <v>14</v>
      </c>
      <c r="C10" s="76" t="s">
        <v>36</v>
      </c>
      <c r="D10" s="77" t="s">
        <v>37</v>
      </c>
      <c r="E10" s="77" t="s">
        <v>38</v>
      </c>
      <c r="F10" s="77" t="s">
        <v>39</v>
      </c>
      <c r="G10" s="77" t="s">
        <v>40</v>
      </c>
      <c r="H10" s="77" t="s">
        <v>41</v>
      </c>
      <c r="I10" s="77" t="s">
        <v>42</v>
      </c>
      <c r="J10" s="77" t="s">
        <v>43</v>
      </c>
      <c r="K10" s="77" t="s">
        <v>46</v>
      </c>
      <c r="L10" s="77" t="s">
        <v>47</v>
      </c>
      <c r="M10" s="77" t="s">
        <v>48</v>
      </c>
      <c r="N10" s="77" t="s">
        <v>49</v>
      </c>
      <c r="O10" s="78" t="s">
        <v>50</v>
      </c>
      <c r="P10" s="22"/>
      <c r="R10" s="127"/>
      <c r="S10" s="127"/>
      <c r="T10" s="127"/>
    </row>
    <row r="11" spans="1:20" ht="24.95" customHeight="1" thickBot="1" x14ac:dyDescent="0.3">
      <c r="A11" s="17"/>
      <c r="B11" s="27" t="s">
        <v>15</v>
      </c>
      <c r="C11" s="82">
        <v>9800</v>
      </c>
      <c r="D11" s="83">
        <v>9800</v>
      </c>
      <c r="E11" s="83">
        <v>9800</v>
      </c>
      <c r="F11" s="83">
        <v>9800</v>
      </c>
      <c r="G11" s="83">
        <v>9800</v>
      </c>
      <c r="H11" s="83">
        <v>9800</v>
      </c>
      <c r="I11" s="83">
        <v>9800</v>
      </c>
      <c r="J11" s="83">
        <v>9800</v>
      </c>
      <c r="K11" s="83">
        <v>9800</v>
      </c>
      <c r="L11" s="83">
        <v>9800</v>
      </c>
      <c r="M11" s="83">
        <v>9800</v>
      </c>
      <c r="N11" s="83">
        <v>9800</v>
      </c>
      <c r="O11" s="84">
        <f t="shared" ref="O11:O18" si="1">SUM(C11:N11)</f>
        <v>117600</v>
      </c>
      <c r="P11" s="22"/>
      <c r="R11" s="127"/>
      <c r="S11" s="127"/>
      <c r="T11" s="127"/>
    </row>
    <row r="12" spans="1:20" ht="24.95" customHeight="1" thickBot="1" x14ac:dyDescent="0.3">
      <c r="A12" s="17"/>
      <c r="B12" s="27" t="s">
        <v>16</v>
      </c>
      <c r="C12" s="82"/>
      <c r="D12" s="83">
        <v>400</v>
      </c>
      <c r="E12" s="83">
        <v>400</v>
      </c>
      <c r="F12" s="83">
        <v>100</v>
      </c>
      <c r="G12" s="83">
        <v>100</v>
      </c>
      <c r="H12" s="83">
        <v>100</v>
      </c>
      <c r="I12" s="83">
        <v>100</v>
      </c>
      <c r="J12" s="83">
        <v>100</v>
      </c>
      <c r="K12" s="83">
        <v>100</v>
      </c>
      <c r="L12" s="83">
        <v>100</v>
      </c>
      <c r="M12" s="83">
        <v>400</v>
      </c>
      <c r="N12" s="83">
        <v>400</v>
      </c>
      <c r="O12" s="84">
        <f t="shared" si="1"/>
        <v>2300</v>
      </c>
      <c r="P12" s="22"/>
      <c r="R12" s="127"/>
      <c r="S12" s="127"/>
      <c r="T12" s="127"/>
    </row>
    <row r="13" spans="1:20" ht="24.95" customHeight="1" thickBot="1" x14ac:dyDescent="0.3">
      <c r="A13" s="17"/>
      <c r="B13" s="27" t="s">
        <v>17</v>
      </c>
      <c r="C13" s="82">
        <v>300</v>
      </c>
      <c r="D13" s="83">
        <v>300</v>
      </c>
      <c r="E13" s="83">
        <v>300</v>
      </c>
      <c r="F13" s="83">
        <v>300</v>
      </c>
      <c r="G13" s="83">
        <v>300</v>
      </c>
      <c r="H13" s="83">
        <v>300</v>
      </c>
      <c r="I13" s="83">
        <v>300</v>
      </c>
      <c r="J13" s="83">
        <v>300</v>
      </c>
      <c r="K13" s="83">
        <v>300</v>
      </c>
      <c r="L13" s="83">
        <v>300</v>
      </c>
      <c r="M13" s="83">
        <v>300</v>
      </c>
      <c r="N13" s="83">
        <v>300</v>
      </c>
      <c r="O13" s="84">
        <f t="shared" si="1"/>
        <v>3600</v>
      </c>
      <c r="P13" s="22"/>
      <c r="R13" s="127"/>
      <c r="S13" s="127"/>
      <c r="T13" s="127"/>
    </row>
    <row r="14" spans="1:20" ht="24.95" customHeight="1" thickBot="1" x14ac:dyDescent="0.3">
      <c r="A14" s="17"/>
      <c r="B14" s="27" t="s">
        <v>18</v>
      </c>
      <c r="C14" s="82">
        <v>40</v>
      </c>
      <c r="D14" s="83">
        <v>40</v>
      </c>
      <c r="E14" s="83">
        <v>40</v>
      </c>
      <c r="F14" s="83">
        <v>40</v>
      </c>
      <c r="G14" s="83">
        <v>40</v>
      </c>
      <c r="H14" s="83">
        <v>40</v>
      </c>
      <c r="I14" s="83">
        <v>40</v>
      </c>
      <c r="J14" s="83">
        <v>40</v>
      </c>
      <c r="K14" s="83">
        <v>40</v>
      </c>
      <c r="L14" s="83">
        <v>40</v>
      </c>
      <c r="M14" s="83">
        <v>40</v>
      </c>
      <c r="N14" s="83">
        <v>40</v>
      </c>
      <c r="O14" s="84">
        <f t="shared" si="1"/>
        <v>480</v>
      </c>
      <c r="P14" s="22"/>
    </row>
    <row r="15" spans="1:20" ht="24.95" customHeight="1" thickBot="1" x14ac:dyDescent="0.3">
      <c r="A15" s="17"/>
      <c r="B15" s="27" t="s">
        <v>19</v>
      </c>
      <c r="C15" s="82">
        <v>250</v>
      </c>
      <c r="D15" s="83">
        <v>250</v>
      </c>
      <c r="E15" s="83">
        <v>250</v>
      </c>
      <c r="F15" s="83">
        <v>250</v>
      </c>
      <c r="G15" s="83">
        <v>250</v>
      </c>
      <c r="H15" s="83">
        <v>250</v>
      </c>
      <c r="I15" s="83">
        <v>250</v>
      </c>
      <c r="J15" s="83">
        <v>250</v>
      </c>
      <c r="K15" s="83">
        <v>250</v>
      </c>
      <c r="L15" s="83">
        <v>250</v>
      </c>
      <c r="M15" s="83">
        <v>250</v>
      </c>
      <c r="N15" s="83">
        <v>250</v>
      </c>
      <c r="O15" s="84">
        <f t="shared" si="1"/>
        <v>3000</v>
      </c>
      <c r="P15" s="22"/>
    </row>
    <row r="16" spans="1:20" ht="24.95" customHeight="1" thickBot="1" x14ac:dyDescent="0.3">
      <c r="A16" s="17"/>
      <c r="B16" s="27" t="s">
        <v>20</v>
      </c>
      <c r="C16" s="82">
        <v>180</v>
      </c>
      <c r="D16" s="83">
        <v>180</v>
      </c>
      <c r="E16" s="83">
        <v>180</v>
      </c>
      <c r="F16" s="83">
        <v>180</v>
      </c>
      <c r="G16" s="83">
        <v>180</v>
      </c>
      <c r="H16" s="83">
        <v>180</v>
      </c>
      <c r="I16" s="83">
        <v>180</v>
      </c>
      <c r="J16" s="83">
        <v>180</v>
      </c>
      <c r="K16" s="83">
        <v>180</v>
      </c>
      <c r="L16" s="83">
        <v>180</v>
      </c>
      <c r="M16" s="83">
        <v>180</v>
      </c>
      <c r="N16" s="83">
        <v>180</v>
      </c>
      <c r="O16" s="84">
        <f t="shared" si="1"/>
        <v>2160</v>
      </c>
      <c r="P16" s="22"/>
    </row>
    <row r="17" spans="1:16" ht="24.95" customHeight="1" thickBot="1" x14ac:dyDescent="0.3">
      <c r="A17" s="17"/>
      <c r="B17" s="27" t="s">
        <v>21</v>
      </c>
      <c r="C17" s="82">
        <v>200</v>
      </c>
      <c r="D17" s="83">
        <v>200</v>
      </c>
      <c r="E17" s="83">
        <v>200</v>
      </c>
      <c r="F17" s="83">
        <v>200</v>
      </c>
      <c r="G17" s="83">
        <v>200</v>
      </c>
      <c r="H17" s="83">
        <v>200</v>
      </c>
      <c r="I17" s="83">
        <v>200</v>
      </c>
      <c r="J17" s="83">
        <v>200</v>
      </c>
      <c r="K17" s="83">
        <v>200</v>
      </c>
      <c r="L17" s="83">
        <v>200</v>
      </c>
      <c r="M17" s="83">
        <v>200</v>
      </c>
      <c r="N17" s="83">
        <v>200</v>
      </c>
      <c r="O17" s="84">
        <f t="shared" si="1"/>
        <v>2400</v>
      </c>
      <c r="P17" s="22"/>
    </row>
    <row r="18" spans="1:16" ht="24.95" customHeight="1" thickBot="1" x14ac:dyDescent="0.3">
      <c r="A18" s="17"/>
      <c r="B18" s="27" t="s">
        <v>22</v>
      </c>
      <c r="C18" s="82">
        <v>600</v>
      </c>
      <c r="D18" s="83">
        <v>600</v>
      </c>
      <c r="E18" s="83">
        <v>600</v>
      </c>
      <c r="F18" s="83">
        <v>600</v>
      </c>
      <c r="G18" s="83">
        <v>600</v>
      </c>
      <c r="H18" s="83">
        <v>600</v>
      </c>
      <c r="I18" s="83">
        <v>600</v>
      </c>
      <c r="J18" s="83">
        <v>600</v>
      </c>
      <c r="K18" s="83">
        <v>600</v>
      </c>
      <c r="L18" s="83">
        <v>600</v>
      </c>
      <c r="M18" s="83">
        <v>600</v>
      </c>
      <c r="N18" s="83">
        <v>600</v>
      </c>
      <c r="O18" s="84">
        <f t="shared" si="1"/>
        <v>7200</v>
      </c>
      <c r="P18" s="22"/>
    </row>
    <row r="19" spans="1:16" ht="24.95" customHeight="1" thickBot="1" x14ac:dyDescent="0.3">
      <c r="A19" s="17"/>
      <c r="B19" s="28" t="s">
        <v>13</v>
      </c>
      <c r="C19" s="88">
        <f>SUBTOTAL(109,OfficePlan[ינו])</f>
        <v>11370</v>
      </c>
      <c r="D19" s="89">
        <f>SUBTOTAL(109,OfficePlan[פבר])</f>
        <v>11770</v>
      </c>
      <c r="E19" s="89">
        <f>SUBTOTAL(109,OfficePlan[מרץ])</f>
        <v>11770</v>
      </c>
      <c r="F19" s="89">
        <f>SUBTOTAL(109,OfficePlan[אפר])</f>
        <v>11470</v>
      </c>
      <c r="G19" s="89">
        <f>SUBTOTAL(109,OfficePlan[מאי])</f>
        <v>11470</v>
      </c>
      <c r="H19" s="89">
        <f>SUBTOTAL(109,OfficePlan[יונ])</f>
        <v>11470</v>
      </c>
      <c r="I19" s="89">
        <f>SUBTOTAL(109,OfficePlan[יול])</f>
        <v>11470</v>
      </c>
      <c r="J19" s="89">
        <f>SUBTOTAL(109,OfficePlan[אוג])</f>
        <v>11470</v>
      </c>
      <c r="K19" s="89">
        <f>SUBTOTAL(109,OfficePlan[ספט])</f>
        <v>11470</v>
      </c>
      <c r="L19" s="89">
        <f>SUBTOTAL(109,OfficePlan[אוק])</f>
        <v>11470</v>
      </c>
      <c r="M19" s="89">
        <f>SUBTOTAL(109,OfficePlan[נוב])</f>
        <v>11770</v>
      </c>
      <c r="N19" s="89">
        <f>SUBTOTAL(109,OfficePlan[דצמ])</f>
        <v>11770</v>
      </c>
      <c r="O19" s="90">
        <f>SUBTOTAL(109,OfficePlan[שנה])</f>
        <v>138740</v>
      </c>
      <c r="P19" s="22"/>
    </row>
    <row r="20" spans="1:16" ht="21" customHeight="1" x14ac:dyDescent="0.25">
      <c r="A20" s="17"/>
      <c r="B20" s="29"/>
      <c r="C20" s="29"/>
      <c r="D20" s="74"/>
      <c r="E20" s="74"/>
      <c r="F20" s="79"/>
      <c r="G20" s="79"/>
      <c r="H20" s="79"/>
      <c r="I20" s="79"/>
      <c r="J20" s="79"/>
      <c r="K20" s="79"/>
      <c r="L20" s="79"/>
      <c r="M20" s="79"/>
      <c r="N20" s="79"/>
      <c r="O20" s="75"/>
      <c r="P20" s="22"/>
    </row>
    <row r="21" spans="1:16" ht="24.95" customHeight="1" thickBot="1" x14ac:dyDescent="0.3">
      <c r="A21" s="17"/>
      <c r="B21" s="30" t="s">
        <v>23</v>
      </c>
      <c r="C21" s="80" t="s">
        <v>36</v>
      </c>
      <c r="D21" s="80" t="s">
        <v>37</v>
      </c>
      <c r="E21" s="80" t="s">
        <v>38</v>
      </c>
      <c r="F21" s="80" t="s">
        <v>39</v>
      </c>
      <c r="G21" s="80" t="s">
        <v>40</v>
      </c>
      <c r="H21" s="80" t="s">
        <v>41</v>
      </c>
      <c r="I21" s="80" t="s">
        <v>42</v>
      </c>
      <c r="J21" s="80" t="s">
        <v>43</v>
      </c>
      <c r="K21" s="80" t="s">
        <v>46</v>
      </c>
      <c r="L21" s="80" t="s">
        <v>47</v>
      </c>
      <c r="M21" s="80" t="s">
        <v>48</v>
      </c>
      <c r="N21" s="80" t="s">
        <v>49</v>
      </c>
      <c r="O21" s="81" t="s">
        <v>50</v>
      </c>
      <c r="P21" s="22"/>
    </row>
    <row r="22" spans="1:16" ht="24.95" customHeight="1" thickBot="1" x14ac:dyDescent="0.3">
      <c r="A22" s="17"/>
      <c r="B22" s="23" t="s">
        <v>24</v>
      </c>
      <c r="C22" s="102">
        <v>500</v>
      </c>
      <c r="D22" s="103">
        <v>500</v>
      </c>
      <c r="E22" s="103">
        <v>500</v>
      </c>
      <c r="F22" s="103">
        <v>500</v>
      </c>
      <c r="G22" s="103">
        <v>500</v>
      </c>
      <c r="H22" s="103">
        <v>500</v>
      </c>
      <c r="I22" s="103">
        <v>500</v>
      </c>
      <c r="J22" s="103">
        <v>500</v>
      </c>
      <c r="K22" s="103">
        <v>500</v>
      </c>
      <c r="L22" s="103">
        <v>500</v>
      </c>
      <c r="M22" s="103">
        <v>500</v>
      </c>
      <c r="N22" s="103">
        <v>500</v>
      </c>
      <c r="O22" s="84">
        <f t="shared" ref="O22:O27" si="2">SUM(C22:N22)</f>
        <v>6000</v>
      </c>
      <c r="P22" s="22"/>
    </row>
    <row r="23" spans="1:16" ht="24.95" customHeight="1" thickBot="1" x14ac:dyDescent="0.3">
      <c r="A23" s="17"/>
      <c r="B23" s="23" t="s">
        <v>25</v>
      </c>
      <c r="C23" s="102">
        <v>200</v>
      </c>
      <c r="D23" s="103">
        <v>200</v>
      </c>
      <c r="E23" s="103">
        <v>200</v>
      </c>
      <c r="F23" s="103">
        <v>200</v>
      </c>
      <c r="G23" s="103">
        <v>200</v>
      </c>
      <c r="H23" s="103">
        <v>1000</v>
      </c>
      <c r="I23" s="103">
        <v>200</v>
      </c>
      <c r="J23" s="103">
        <v>200</v>
      </c>
      <c r="K23" s="103">
        <v>200</v>
      </c>
      <c r="L23" s="103">
        <v>200</v>
      </c>
      <c r="M23" s="103">
        <v>200</v>
      </c>
      <c r="N23" s="103">
        <v>1000</v>
      </c>
      <c r="O23" s="84">
        <f t="shared" si="2"/>
        <v>4000</v>
      </c>
      <c r="P23" s="22"/>
    </row>
    <row r="24" spans="1:16" ht="24.95" customHeight="1" thickBot="1" x14ac:dyDescent="0.3">
      <c r="A24" s="17"/>
      <c r="B24" s="23" t="s">
        <v>26</v>
      </c>
      <c r="C24" s="102">
        <v>5000</v>
      </c>
      <c r="D24" s="103">
        <v>0</v>
      </c>
      <c r="E24" s="103">
        <v>0</v>
      </c>
      <c r="F24" s="103">
        <v>5000</v>
      </c>
      <c r="G24" s="103">
        <v>0</v>
      </c>
      <c r="H24" s="103">
        <v>0</v>
      </c>
      <c r="I24" s="103">
        <v>5000</v>
      </c>
      <c r="J24" s="103">
        <v>0</v>
      </c>
      <c r="K24" s="103">
        <v>0</v>
      </c>
      <c r="L24" s="103">
        <v>5000</v>
      </c>
      <c r="M24" s="103">
        <v>0</v>
      </c>
      <c r="N24" s="103">
        <v>0</v>
      </c>
      <c r="O24" s="84">
        <f t="shared" si="2"/>
        <v>20000</v>
      </c>
      <c r="P24" s="22"/>
    </row>
    <row r="25" spans="1:16" ht="24.95" customHeight="1" thickBot="1" x14ac:dyDescent="0.3">
      <c r="A25" s="17"/>
      <c r="B25" s="23" t="s">
        <v>27</v>
      </c>
      <c r="C25" s="102">
        <v>200</v>
      </c>
      <c r="D25" s="103">
        <v>200</v>
      </c>
      <c r="E25" s="103">
        <v>200</v>
      </c>
      <c r="F25" s="103">
        <v>200</v>
      </c>
      <c r="G25" s="103">
        <v>200</v>
      </c>
      <c r="H25" s="103">
        <v>200</v>
      </c>
      <c r="I25" s="103">
        <v>200</v>
      </c>
      <c r="J25" s="103">
        <v>200</v>
      </c>
      <c r="K25" s="103">
        <v>200</v>
      </c>
      <c r="L25" s="103">
        <v>200</v>
      </c>
      <c r="M25" s="103">
        <v>200</v>
      </c>
      <c r="N25" s="103">
        <v>200</v>
      </c>
      <c r="O25" s="84">
        <f t="shared" si="2"/>
        <v>2400</v>
      </c>
      <c r="P25" s="22"/>
    </row>
    <row r="26" spans="1:16" ht="24.95" customHeight="1" thickBot="1" x14ac:dyDescent="0.3">
      <c r="A26" s="17"/>
      <c r="B26" s="23" t="s">
        <v>28</v>
      </c>
      <c r="C26" s="102">
        <v>2000</v>
      </c>
      <c r="D26" s="103">
        <v>2000</v>
      </c>
      <c r="E26" s="103">
        <v>2000</v>
      </c>
      <c r="F26" s="103">
        <v>5000</v>
      </c>
      <c r="G26" s="103">
        <v>2000</v>
      </c>
      <c r="H26" s="103">
        <v>2000</v>
      </c>
      <c r="I26" s="103">
        <v>2000</v>
      </c>
      <c r="J26" s="103">
        <v>5000</v>
      </c>
      <c r="K26" s="103">
        <v>2000</v>
      </c>
      <c r="L26" s="103">
        <v>2000</v>
      </c>
      <c r="M26" s="103">
        <v>2000</v>
      </c>
      <c r="N26" s="103">
        <v>5000</v>
      </c>
      <c r="O26" s="84">
        <f t="shared" si="2"/>
        <v>33000</v>
      </c>
      <c r="P26" s="22"/>
    </row>
    <row r="27" spans="1:16" ht="24.95" customHeight="1" thickBot="1" x14ac:dyDescent="0.3">
      <c r="A27" s="17"/>
      <c r="B27" s="23" t="s">
        <v>29</v>
      </c>
      <c r="C27" s="102">
        <v>200</v>
      </c>
      <c r="D27" s="103">
        <v>200</v>
      </c>
      <c r="E27" s="103">
        <v>200</v>
      </c>
      <c r="F27" s="103">
        <v>200</v>
      </c>
      <c r="G27" s="103">
        <v>200</v>
      </c>
      <c r="H27" s="103">
        <v>200</v>
      </c>
      <c r="I27" s="103">
        <v>200</v>
      </c>
      <c r="J27" s="103">
        <v>200</v>
      </c>
      <c r="K27" s="103">
        <v>200</v>
      </c>
      <c r="L27" s="103">
        <v>200</v>
      </c>
      <c r="M27" s="103">
        <v>200</v>
      </c>
      <c r="N27" s="103">
        <v>200</v>
      </c>
      <c r="O27" s="84">
        <f t="shared" si="2"/>
        <v>2400</v>
      </c>
      <c r="P27" s="22"/>
    </row>
    <row r="28" spans="1:16" ht="24.95" customHeight="1" x14ac:dyDescent="0.25">
      <c r="A28" s="17"/>
      <c r="B28" s="31" t="s">
        <v>13</v>
      </c>
      <c r="C28" s="85">
        <f>SUBTOTAL(109,MarketingPlan[ינו])</f>
        <v>8100</v>
      </c>
      <c r="D28" s="86">
        <f>SUBTOTAL(109,MarketingPlan[פבר])</f>
        <v>3100</v>
      </c>
      <c r="E28" s="86">
        <f>SUBTOTAL(109,MarketingPlan[מרץ])</f>
        <v>3100</v>
      </c>
      <c r="F28" s="86">
        <f>SUBTOTAL(109,MarketingPlan[אפר])</f>
        <v>11100</v>
      </c>
      <c r="G28" s="86">
        <f>SUBTOTAL(109,MarketingPlan[מאי])</f>
        <v>3100</v>
      </c>
      <c r="H28" s="86">
        <f>SUBTOTAL(109,MarketingPlan[יונ])</f>
        <v>3900</v>
      </c>
      <c r="I28" s="86">
        <f>SUBTOTAL(109,MarketingPlan[יול])</f>
        <v>8100</v>
      </c>
      <c r="J28" s="86">
        <f>SUBTOTAL(109,MarketingPlan[אוג])</f>
        <v>6100</v>
      </c>
      <c r="K28" s="86">
        <f>SUBTOTAL(109,MarketingPlan[ספט])</f>
        <v>3100</v>
      </c>
      <c r="L28" s="86">
        <f>SUBTOTAL(109,MarketingPlan[אוק])</f>
        <v>8100</v>
      </c>
      <c r="M28" s="86">
        <f>SUBTOTAL(109,MarketingPlan[נוב])</f>
        <v>3100</v>
      </c>
      <c r="N28" s="86">
        <f>SUBTOTAL(109,MarketingPlan[דצמ])</f>
        <v>6900</v>
      </c>
      <c r="O28" s="87">
        <f>SUBTOTAL(109,MarketingPlan[שנה])</f>
        <v>67800</v>
      </c>
      <c r="P28" s="22"/>
    </row>
    <row r="29" spans="1:16" ht="21" customHeight="1" x14ac:dyDescent="0.25">
      <c r="A29" s="17"/>
      <c r="B29" s="25"/>
      <c r="C29" s="25"/>
      <c r="D29" s="79"/>
      <c r="E29" s="79"/>
      <c r="F29" s="79"/>
      <c r="G29" s="79"/>
      <c r="H29" s="79"/>
      <c r="I29" s="79"/>
      <c r="J29" s="79"/>
      <c r="K29" s="79"/>
      <c r="L29" s="79"/>
      <c r="M29" s="79"/>
      <c r="N29" s="79"/>
      <c r="O29" s="75"/>
      <c r="P29" s="22"/>
    </row>
    <row r="30" spans="1:16" ht="21" customHeight="1" thickBot="1" x14ac:dyDescent="0.3">
      <c r="A30" s="17"/>
      <c r="B30" s="32" t="s">
        <v>30</v>
      </c>
      <c r="C30" s="80" t="s">
        <v>36</v>
      </c>
      <c r="D30" s="80" t="s">
        <v>37</v>
      </c>
      <c r="E30" s="80" t="s">
        <v>38</v>
      </c>
      <c r="F30" s="80" t="s">
        <v>39</v>
      </c>
      <c r="G30" s="80" t="s">
        <v>40</v>
      </c>
      <c r="H30" s="80" t="s">
        <v>41</v>
      </c>
      <c r="I30" s="80" t="s">
        <v>42</v>
      </c>
      <c r="J30" s="80" t="s">
        <v>43</v>
      </c>
      <c r="K30" s="80" t="s">
        <v>46</v>
      </c>
      <c r="L30" s="80" t="s">
        <v>47</v>
      </c>
      <c r="M30" s="80" t="s">
        <v>48</v>
      </c>
      <c r="N30" s="80" t="s">
        <v>49</v>
      </c>
      <c r="O30" s="81" t="s">
        <v>50</v>
      </c>
      <c r="P30" s="22"/>
    </row>
    <row r="31" spans="1:16" ht="21" customHeight="1" thickBot="1" x14ac:dyDescent="0.3">
      <c r="A31" s="17"/>
      <c r="B31" s="23" t="s">
        <v>31</v>
      </c>
      <c r="C31" s="102">
        <v>2000</v>
      </c>
      <c r="D31" s="103">
        <v>2000</v>
      </c>
      <c r="E31" s="103">
        <v>2000</v>
      </c>
      <c r="F31" s="103">
        <v>2000</v>
      </c>
      <c r="G31" s="103">
        <v>2000</v>
      </c>
      <c r="H31" s="103">
        <v>2000</v>
      </c>
      <c r="I31" s="103">
        <v>2000</v>
      </c>
      <c r="J31" s="103">
        <v>2000</v>
      </c>
      <c r="K31" s="103">
        <v>2000</v>
      </c>
      <c r="L31" s="103">
        <v>2000</v>
      </c>
      <c r="M31" s="103">
        <v>2000</v>
      </c>
      <c r="N31" s="103">
        <v>2000</v>
      </c>
      <c r="O31" s="104">
        <f>SUM(C31:N31)</f>
        <v>24000</v>
      </c>
      <c r="P31" s="22"/>
    </row>
    <row r="32" spans="1:16" ht="21" customHeight="1" thickBot="1" x14ac:dyDescent="0.3">
      <c r="A32" s="17"/>
      <c r="B32" s="23" t="s">
        <v>32</v>
      </c>
      <c r="C32" s="102">
        <v>2000</v>
      </c>
      <c r="D32" s="103">
        <v>2000</v>
      </c>
      <c r="E32" s="103">
        <v>2000</v>
      </c>
      <c r="F32" s="103">
        <v>2000</v>
      </c>
      <c r="G32" s="103">
        <v>2000</v>
      </c>
      <c r="H32" s="103">
        <v>2000</v>
      </c>
      <c r="I32" s="103">
        <v>2000</v>
      </c>
      <c r="J32" s="103">
        <v>2000</v>
      </c>
      <c r="K32" s="103">
        <v>2000</v>
      </c>
      <c r="L32" s="103">
        <v>2000</v>
      </c>
      <c r="M32" s="103">
        <v>2000</v>
      </c>
      <c r="N32" s="103">
        <v>2000</v>
      </c>
      <c r="O32" s="104">
        <f>SUM(C32:N32)</f>
        <v>24000</v>
      </c>
      <c r="P32" s="22"/>
    </row>
    <row r="33" spans="1:16" ht="21" customHeight="1" x14ac:dyDescent="0.25">
      <c r="A33" s="17"/>
      <c r="B33" s="31" t="s">
        <v>13</v>
      </c>
      <c r="C33" s="107">
        <f>SUBTOTAL(109,TrainingAndTravelPlan[ינו])</f>
        <v>4000</v>
      </c>
      <c r="D33" s="105">
        <f>SUBTOTAL(109,TrainingAndTravelPlan[פבר])</f>
        <v>4000</v>
      </c>
      <c r="E33" s="105">
        <f>SUBTOTAL(109,TrainingAndTravelPlan[מרץ])</f>
        <v>4000</v>
      </c>
      <c r="F33" s="105">
        <f>SUBTOTAL(109,TrainingAndTravelPlan[אפר])</f>
        <v>4000</v>
      </c>
      <c r="G33" s="105">
        <f>SUBTOTAL(109,TrainingAndTravelPlan[מאי])</f>
        <v>4000</v>
      </c>
      <c r="H33" s="105">
        <f>SUBTOTAL(109,TrainingAndTravelPlan[יונ])</f>
        <v>4000</v>
      </c>
      <c r="I33" s="105">
        <f>SUBTOTAL(109,TrainingAndTravelPlan[יול])</f>
        <v>4000</v>
      </c>
      <c r="J33" s="105">
        <f>SUBTOTAL(109,TrainingAndTravelPlan[אוג])</f>
        <v>4000</v>
      </c>
      <c r="K33" s="105">
        <f>SUBTOTAL(109,TrainingAndTravelPlan[ספט])</f>
        <v>4000</v>
      </c>
      <c r="L33" s="105">
        <f>SUBTOTAL(109,TrainingAndTravelPlan[אוק])</f>
        <v>4000</v>
      </c>
      <c r="M33" s="105">
        <f>SUBTOTAL(109,TrainingAndTravelPlan[נוב])</f>
        <v>4000</v>
      </c>
      <c r="N33" s="105">
        <f>SUBTOTAL(109,TrainingAndTravelPlan[דצמ])</f>
        <v>4000</v>
      </c>
      <c r="O33" s="106">
        <f>SUBTOTAL(109,TrainingAndTravelPlan[שנה])</f>
        <v>48000</v>
      </c>
      <c r="P33" s="22"/>
    </row>
    <row r="34" spans="1:16" ht="21" customHeight="1" x14ac:dyDescent="0.25">
      <c r="A34" s="17"/>
      <c r="B34" s="25"/>
      <c r="C34" s="25"/>
      <c r="D34" s="75"/>
      <c r="E34" s="75"/>
      <c r="F34" s="75"/>
      <c r="G34" s="75"/>
      <c r="H34" s="75"/>
      <c r="I34" s="75"/>
      <c r="J34" s="75"/>
      <c r="K34" s="75"/>
      <c r="L34" s="75"/>
      <c r="M34" s="75"/>
      <c r="N34" s="75"/>
      <c r="O34" s="75"/>
      <c r="P34" s="22"/>
    </row>
    <row r="35" spans="1:16" ht="24.95" customHeight="1" thickBot="1" x14ac:dyDescent="0.3">
      <c r="A35" s="17"/>
      <c r="B35" s="33" t="s">
        <v>33</v>
      </c>
      <c r="C35" s="34" t="s">
        <v>36</v>
      </c>
      <c r="D35" s="34" t="s">
        <v>37</v>
      </c>
      <c r="E35" s="34" t="s">
        <v>38</v>
      </c>
      <c r="F35" s="34" t="s">
        <v>39</v>
      </c>
      <c r="G35" s="34" t="s">
        <v>40</v>
      </c>
      <c r="H35" s="34" t="s">
        <v>41</v>
      </c>
      <c r="I35" s="34" t="s">
        <v>42</v>
      </c>
      <c r="J35" s="34" t="s">
        <v>43</v>
      </c>
      <c r="K35" s="34" t="s">
        <v>46</v>
      </c>
      <c r="L35" s="34" t="s">
        <v>47</v>
      </c>
      <c r="M35" s="34" t="s">
        <v>48</v>
      </c>
      <c r="N35" s="34" t="s">
        <v>49</v>
      </c>
      <c r="O35" s="34" t="s">
        <v>50</v>
      </c>
      <c r="P35" s="22"/>
    </row>
    <row r="36" spans="1:16" ht="24.95" customHeight="1" thickBot="1" x14ac:dyDescent="0.3">
      <c r="A36" s="17"/>
      <c r="B36" s="35" t="s">
        <v>34</v>
      </c>
      <c r="C36" s="108">
        <f>TrainingAndTravelPlan[[#Totals],[ינו]]+MarketingPlan[[#Totals],[ינו]]+OfficePlan[[#Totals],[ינו]]+EmployeePlan[[#Totals],[ינו]]</f>
        <v>131420</v>
      </c>
      <c r="D36" s="108">
        <f>TrainingAndTravelPlan[[#Totals],[פבר]]+MarketingPlan[[#Totals],[פבר]]+OfficePlan[[#Totals],[פבר]]+EmployeePlan[[#Totals],[פבר]]</f>
        <v>126820</v>
      </c>
      <c r="E36" s="108">
        <f>TrainingAndTravelPlan[[#Totals],[מרץ]]+MarketingPlan[[#Totals],[מרץ]]+OfficePlan[[#Totals],[מרץ]]+EmployeePlan[[#Totals],[מרץ]]</f>
        <v>126820</v>
      </c>
      <c r="F36" s="108">
        <f>TrainingAndTravelPlan[[#Totals],[אפר]]+MarketingPlan[[#Totals],[אפר]]+OfficePlan[[#Totals],[אפר]]+EmployeePlan[[#Totals],[אפר]]</f>
        <v>137695</v>
      </c>
      <c r="G36" s="108">
        <f>TrainingAndTravelPlan[[#Totals],[מאי]]+MarketingPlan[[#Totals],[מאי]]+OfficePlan[[#Totals],[מאי]]+EmployeePlan[[#Totals],[מאי]]</f>
        <v>129695</v>
      </c>
      <c r="H36" s="108">
        <f>TrainingAndTravelPlan[[#Totals],[יונ]]+MarketingPlan[[#Totals],[יונ]]+OfficePlan[[#Totals],[יונ]]+EmployeePlan[[#Totals],[יונ]]</f>
        <v>130495</v>
      </c>
      <c r="I36" s="109">
        <f>TrainingAndTravelPlan[[#Totals],[יול]]+MarketingPlan[[#Totals],[יול]]+OfficePlan[[#Totals],[יול]]+EmployeePlan[[#Totals],[יול]]</f>
        <v>134695</v>
      </c>
      <c r="J36" s="108">
        <f>TrainingAndTravelPlan[[#Totals],[אוג]]+MarketingPlan[[#Totals],[אוג]]+OfficePlan[[#Totals],[אוג]]+EmployeePlan[[#Totals],[אוג]]</f>
        <v>138918</v>
      </c>
      <c r="K36" s="108">
        <f>TrainingAndTravelPlan[[#Totals],[ספט]]+MarketingPlan[[#Totals],[ספט]]+OfficePlan[[#Totals],[ספט]]+EmployeePlan[[#Totals],[ספט]]</f>
        <v>135918</v>
      </c>
      <c r="L36" s="108">
        <f>TrainingAndTravelPlan[[#Totals],[אוק]]+MarketingPlan[[#Totals],[אוק]]+OfficePlan[[#Totals],[אוק]]+EmployeePlan[[#Totals],[אוק]]</f>
        <v>140918</v>
      </c>
      <c r="M36" s="108">
        <f>TrainingAndTravelPlan[[#Totals],[נוב]]+MarketingPlan[[#Totals],[נוב]]+OfficePlan[[#Totals],[נוב]]+EmployeePlan[[#Totals],[נוב]]</f>
        <v>136218</v>
      </c>
      <c r="N36" s="108">
        <f>TrainingAndTravelPlan[[#Totals],[דצמ]]+MarketingPlan[[#Totals],[דצמ]]+OfficePlan[[#Totals],[דצמ]]+EmployeePlan[[#Totals],[דצמ]]</f>
        <v>140018</v>
      </c>
      <c r="O36" s="108">
        <f>TrainingAndTravelPlan[[#Totals],[שנה]]+MarketingPlan[[#Totals],[שנה]]+OfficePlan[[#Totals],[שנה]]+EmployeePlan[[#Totals],[שנה]]</f>
        <v>1609630</v>
      </c>
      <c r="P36" s="22"/>
    </row>
    <row r="37" spans="1:16" ht="24.95" customHeight="1" x14ac:dyDescent="0.25">
      <c r="A37" s="17"/>
      <c r="B37" s="35" t="s">
        <v>35</v>
      </c>
      <c r="C37" s="108">
        <f>SUM($C$36:C36)</f>
        <v>131420</v>
      </c>
      <c r="D37" s="108">
        <f>SUM($C$36:D36)</f>
        <v>258240</v>
      </c>
      <c r="E37" s="108">
        <f>SUM($C$36:E36)</f>
        <v>385060</v>
      </c>
      <c r="F37" s="108">
        <f>SUM($C$36:F36)</f>
        <v>522755</v>
      </c>
      <c r="G37" s="108">
        <f>SUM($C$36:G36)</f>
        <v>652450</v>
      </c>
      <c r="H37" s="108">
        <f>SUM($C$36:H36)</f>
        <v>782945</v>
      </c>
      <c r="I37" s="108">
        <f>SUM($C$36:I36)</f>
        <v>917640</v>
      </c>
      <c r="J37" s="108">
        <f>SUM($C$36:J36)</f>
        <v>1056558</v>
      </c>
      <c r="K37" s="108">
        <f>SUM($C$36:K36)</f>
        <v>1192476</v>
      </c>
      <c r="L37" s="108">
        <f>SUM($C$36:L36)</f>
        <v>1333394</v>
      </c>
      <c r="M37" s="108">
        <f>SUM($C$36:M36)</f>
        <v>1469612</v>
      </c>
      <c r="N37" s="108">
        <f>SUM($C$36:N36)</f>
        <v>1609630</v>
      </c>
      <c r="O37" s="108"/>
      <c r="P37" s="22"/>
    </row>
    <row r="38" spans="1:16" ht="21" customHeight="1" x14ac:dyDescent="0.25">
      <c r="A38" s="36"/>
    </row>
  </sheetData>
  <mergeCells count="3">
    <mergeCell ref="R4:T13"/>
    <mergeCell ref="K2:M2"/>
    <mergeCell ref="K3:M3"/>
  </mergeCells>
  <dataValidations count="9">
    <dataValidation allowBlank="1" showInputMessage="1" showErrorMessage="1" prompt="מציין המיקום של הסמל מופיע בתא זה." sqref="N2" xr:uid="{945E4055-1BEA-4F2B-AF1A-B15640887A38}"/>
    <dataValidation allowBlank="1" showInputMessage="1" showErrorMessage="1" prompt="התווית 'הוצאות מתוכננות' מופיעה בתא משמאל, תוויות החודשים מופיעות בתאים C4 עד N4, תווית השנה מופיעה בתא O4, והוראות השימוש בתבנית זו מופיעות בתא R4." sqref="A4" xr:uid="{FC1A50C5-6C61-4FA0-BFBA-2CC82DE4DC0B}"/>
    <dataValidation allowBlank="1" showInputMessage="1" showErrorMessage="1" prompt="הזן את עלויות העובדים המתוכננות בטבלה שמתחילה בתא משמאל. ההוראה הבאה נמצאת בתא A10." sqref="A5" xr:uid="{EED19FC0-ADDC-4580-BE69-2FEDE2EE49A6}"/>
    <dataValidation allowBlank="1" showInputMessage="1" showErrorMessage="1" prompt="הזן את העלויות המשרדיות בטבלה 'עלויות משרדיות מתוכננות' שמתחילה בתא משמאל. ההוראה הבאה נמצאת בתא A21." sqref="A10" xr:uid="{8C5477C2-13FC-4F55-AAB3-60246BBB7A64}"/>
    <dataValidation allowBlank="1" showInputMessage="1" showErrorMessage="1" prompt="הזן את העלויות השיווק בטבלה 'עלויות שיווק מתוכננות' שמתחילה בתא משמאל. ההוראה הבאה נמצאת בתא A30." sqref="A21" xr:uid="{66411362-0BD5-4E49-BFA8-E0A0A55D07AD}"/>
    <dataValidation allowBlank="1" showInputMessage="1" showErrorMessage="1" prompt="הסכומים הכוללים מחושבים באופן אוטומטי בטבלה שמתחילה בתא משמאל." sqref="A30" xr:uid="{6B0B8404-700F-48B3-AD96-0ED1CE7011E9}"/>
    <dataValidation allowBlank="1" showInputMessage="1" showErrorMessage="1" prompt="הזן עלויות עובדים מתוכננות, עלויות משרדיות, עלויות שיווק וכן עלות הדרכה או עלות נסיעה בטבלאות המתאימות בגיליון עבודה זה. הסכומים הכוללים מחושבים באופן אוטומטי. הוראות לשימוש בגיליון עבודה זה נמצאות בתאים בעמודה זו. לחץ על חץ למטה כדי להתחיל בעבודה." sqref="A1" xr:uid="{C6D84CBA-4A3E-4161-9004-1D9F785E5541}"/>
    <dataValidation allowBlank="1" showInputMessage="1" showErrorMessage="1" prompt="הזן את שם החברה בתא משמאל ואת הסמל שלה בתא N2. הכותרת של גיליון עבודה זה נמצאת בתא K2." sqref="A2" xr:uid="{B4473BB7-021E-4A63-A5F5-4234C1B5B724}"/>
    <dataValidation allowBlank="1" showInputMessage="1" showErrorMessage="1" prompt="העצה מופיעה בתא K3." sqref="A3" xr:uid="{3ECF8058-2463-465E-ADF4-F540ECB4A91E}"/>
  </dataValidations>
  <pageMargins left="0.7" right="0.7" top="0.75" bottom="0.75" header="0.3" footer="0.3"/>
  <pageSetup paperSize="9" fitToHeight="0" orientation="portrait" r:id="rId1"/>
  <ignoredErrors>
    <ignoredError sqref="C6:N6 C36:O37" calculatedColumn="1"/>
    <ignoredError sqref="O12" emptyCellReference="1"/>
  </ignoredErrors>
  <drawing r:id="rId2"/>
  <tableParts count="5">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pageSetUpPr autoPageBreaks="0"/>
  </sheetPr>
  <dimension ref="A1:P38"/>
  <sheetViews>
    <sheetView showGridLines="0" rightToLeft="1" zoomScaleNormal="100" workbookViewId="0"/>
  </sheetViews>
  <sheetFormatPr defaultColWidth="9.140625" defaultRowHeight="21" customHeight="1" x14ac:dyDescent="0.25"/>
  <cols>
    <col min="1" max="1" width="4.7109375" style="9" customWidth="1"/>
    <col min="2" max="2" width="40.5703125" style="47" customWidth="1"/>
    <col min="3" max="14" width="17.5703125" style="47" customWidth="1"/>
    <col min="15" max="15" width="18.5703125" style="47" customWidth="1"/>
    <col min="16" max="16" width="4.7109375" style="9" customWidth="1"/>
    <col min="17" max="16384" width="9.140625" style="47"/>
  </cols>
  <sheetData>
    <row r="1" spans="1:16" s="9" customFormat="1" ht="24" customHeight="1" x14ac:dyDescent="0.25">
      <c r="A1" s="5"/>
      <c r="B1" s="6"/>
      <c r="C1" s="6"/>
      <c r="D1" s="6"/>
      <c r="E1" s="6"/>
      <c r="F1" s="7"/>
      <c r="G1" s="7"/>
      <c r="H1" s="7"/>
      <c r="I1" s="7"/>
      <c r="J1" s="7"/>
      <c r="K1" s="7"/>
      <c r="L1" s="7"/>
      <c r="M1" s="7"/>
      <c r="N1" s="7"/>
      <c r="O1" s="7"/>
      <c r="P1" s="8" t="s">
        <v>51</v>
      </c>
    </row>
    <row r="2" spans="1:16" s="9" customFormat="1" ht="45" customHeight="1" x14ac:dyDescent="0.25">
      <c r="A2" s="10"/>
      <c r="B2" s="11" t="str">
        <f>'הוצאות מתוכננות'!B2:D3</f>
        <v>שם החברה</v>
      </c>
      <c r="C2" s="11"/>
      <c r="D2" s="11"/>
      <c r="E2" s="12"/>
      <c r="F2" s="13"/>
      <c r="G2" s="13"/>
      <c r="H2" s="13"/>
      <c r="I2" s="13"/>
      <c r="J2" s="13"/>
      <c r="K2" s="128" t="str">
        <f>worksheet_title</f>
        <v>פירוט ההוצאות המשוערות</v>
      </c>
      <c r="L2" s="128"/>
      <c r="M2" s="128"/>
      <c r="N2" s="14"/>
      <c r="O2" s="14"/>
      <c r="P2" s="7"/>
    </row>
    <row r="3" spans="1:16" s="9" customFormat="1" ht="30" customHeight="1" x14ac:dyDescent="0.25">
      <c r="A3" s="10"/>
      <c r="B3" s="11"/>
      <c r="C3" s="11"/>
      <c r="D3" s="11"/>
      <c r="E3" s="15"/>
      <c r="F3" s="16"/>
      <c r="G3" s="16"/>
      <c r="H3" s="16"/>
      <c r="I3" s="16"/>
      <c r="J3" s="16"/>
      <c r="K3" s="130" t="s">
        <v>45</v>
      </c>
      <c r="L3" s="130"/>
      <c r="M3" s="130"/>
      <c r="N3" s="14"/>
      <c r="O3" s="14"/>
      <c r="P3" s="7"/>
    </row>
    <row r="4" spans="1:16" s="20" customFormat="1" ht="49.5" customHeight="1" x14ac:dyDescent="0.25">
      <c r="A4" s="17"/>
      <c r="B4" s="18" t="s">
        <v>52</v>
      </c>
      <c r="C4" s="70" t="s">
        <v>36</v>
      </c>
      <c r="D4" s="70" t="s">
        <v>37</v>
      </c>
      <c r="E4" s="70" t="s">
        <v>38</v>
      </c>
      <c r="F4" s="70" t="s">
        <v>39</v>
      </c>
      <c r="G4" s="70" t="s">
        <v>40</v>
      </c>
      <c r="H4" s="70" t="s">
        <v>41</v>
      </c>
      <c r="I4" s="70" t="s">
        <v>42</v>
      </c>
      <c r="J4" s="70" t="s">
        <v>43</v>
      </c>
      <c r="K4" s="70" t="s">
        <v>46</v>
      </c>
      <c r="L4" s="70" t="s">
        <v>47</v>
      </c>
      <c r="M4" s="70" t="s">
        <v>48</v>
      </c>
      <c r="N4" s="70" t="s">
        <v>49</v>
      </c>
      <c r="O4" s="70" t="s">
        <v>50</v>
      </c>
      <c r="P4" s="19"/>
    </row>
    <row r="5" spans="1:16" ht="24.95" customHeight="1" thickBot="1" x14ac:dyDescent="0.3">
      <c r="A5" s="17"/>
      <c r="B5" s="21" t="s">
        <v>10</v>
      </c>
      <c r="C5" s="91" t="s">
        <v>36</v>
      </c>
      <c r="D5" s="80" t="s">
        <v>37</v>
      </c>
      <c r="E5" s="80" t="s">
        <v>38</v>
      </c>
      <c r="F5" s="80" t="s">
        <v>39</v>
      </c>
      <c r="G5" s="80" t="s">
        <v>40</v>
      </c>
      <c r="H5" s="80" t="s">
        <v>41</v>
      </c>
      <c r="I5" s="80" t="s">
        <v>42</v>
      </c>
      <c r="J5" s="80" t="s">
        <v>43</v>
      </c>
      <c r="K5" s="80" t="s">
        <v>46</v>
      </c>
      <c r="L5" s="80" t="s">
        <v>47</v>
      </c>
      <c r="M5" s="80" t="s">
        <v>48</v>
      </c>
      <c r="N5" s="80" t="s">
        <v>49</v>
      </c>
      <c r="O5" s="81" t="s">
        <v>50</v>
      </c>
      <c r="P5" s="22"/>
    </row>
    <row r="6" spans="1:16" ht="24.95" customHeight="1" thickBot="1" x14ac:dyDescent="0.3">
      <c r="A6" s="17"/>
      <c r="B6" s="23" t="s">
        <v>11</v>
      </c>
      <c r="C6" s="102">
        <v>85000</v>
      </c>
      <c r="D6" s="103">
        <v>85000</v>
      </c>
      <c r="E6" s="103">
        <v>85000</v>
      </c>
      <c r="F6" s="103">
        <v>88000</v>
      </c>
      <c r="G6" s="103">
        <v>88000</v>
      </c>
      <c r="H6" s="103">
        <v>88000</v>
      </c>
      <c r="I6" s="103"/>
      <c r="J6" s="103"/>
      <c r="K6" s="103"/>
      <c r="L6" s="103"/>
      <c r="M6" s="103"/>
      <c r="N6" s="103"/>
      <c r="O6" s="104">
        <f>SUM(C6:N6)</f>
        <v>519000</v>
      </c>
      <c r="P6" s="22"/>
    </row>
    <row r="7" spans="1:16" ht="24.95" customHeight="1" thickBot="1" x14ac:dyDescent="0.3">
      <c r="A7" s="17"/>
      <c r="B7" s="23" t="s">
        <v>12</v>
      </c>
      <c r="C7" s="102">
        <f t="shared" ref="C7:N7" si="0">C6*0.27</f>
        <v>22950</v>
      </c>
      <c r="D7" s="103">
        <f t="shared" si="0"/>
        <v>22950</v>
      </c>
      <c r="E7" s="103">
        <f t="shared" si="0"/>
        <v>22950</v>
      </c>
      <c r="F7" s="103">
        <f t="shared" si="0"/>
        <v>23760</v>
      </c>
      <c r="G7" s="103">
        <f t="shared" si="0"/>
        <v>23760</v>
      </c>
      <c r="H7" s="103">
        <f t="shared" si="0"/>
        <v>23760</v>
      </c>
      <c r="I7" s="103">
        <f t="shared" si="0"/>
        <v>0</v>
      </c>
      <c r="J7" s="103">
        <f t="shared" si="0"/>
        <v>0</v>
      </c>
      <c r="K7" s="103">
        <f t="shared" si="0"/>
        <v>0</v>
      </c>
      <c r="L7" s="103">
        <f t="shared" si="0"/>
        <v>0</v>
      </c>
      <c r="M7" s="103">
        <f t="shared" si="0"/>
        <v>0</v>
      </c>
      <c r="N7" s="103">
        <f t="shared" si="0"/>
        <v>0</v>
      </c>
      <c r="O7" s="104">
        <f>SUM(C7:N7)</f>
        <v>140130</v>
      </c>
      <c r="P7" s="22"/>
    </row>
    <row r="8" spans="1:16" ht="24.95" customHeight="1" x14ac:dyDescent="0.25">
      <c r="A8" s="17"/>
      <c r="B8" s="37" t="s">
        <v>13</v>
      </c>
      <c r="C8" s="107">
        <f>SUBTOTAL(109,EmployeeActual[ינו])</f>
        <v>107950</v>
      </c>
      <c r="D8" s="105">
        <f>SUBTOTAL(109,EmployeeActual[פבר])</f>
        <v>107950</v>
      </c>
      <c r="E8" s="105">
        <f>SUBTOTAL(109,EmployeeActual[מרץ])</f>
        <v>107950</v>
      </c>
      <c r="F8" s="105">
        <f>SUBTOTAL(109,EmployeeActual[אפר])</f>
        <v>111760</v>
      </c>
      <c r="G8" s="105">
        <f>SUBTOTAL(109,EmployeeActual[מאי])</f>
        <v>111760</v>
      </c>
      <c r="H8" s="105">
        <f>SUBTOTAL(109,EmployeeActual[יונ])</f>
        <v>111760</v>
      </c>
      <c r="I8" s="105">
        <f>SUBTOTAL(109,EmployeeActual[יול])</f>
        <v>0</v>
      </c>
      <c r="J8" s="105">
        <f>SUBTOTAL(109,EmployeeActual[אוג])</f>
        <v>0</v>
      </c>
      <c r="K8" s="105">
        <f>SUBTOTAL(109,EmployeeActual[ספט])</f>
        <v>0</v>
      </c>
      <c r="L8" s="105">
        <f>SUBTOTAL(109,EmployeeActual[אוק])</f>
        <v>0</v>
      </c>
      <c r="M8" s="105">
        <f>SUBTOTAL(109,EmployeeActual[נוב])</f>
        <v>0</v>
      </c>
      <c r="N8" s="105">
        <f>SUBTOTAL(109,EmployeeActual[דצמ])</f>
        <v>0</v>
      </c>
      <c r="O8" s="106">
        <f>SUBTOTAL(109,EmployeeActual[שנה])</f>
        <v>659130</v>
      </c>
      <c r="P8" s="22"/>
    </row>
    <row r="9" spans="1:16" s="9" customFormat="1" ht="21" customHeight="1" x14ac:dyDescent="0.25">
      <c r="A9" s="17"/>
      <c r="B9" s="25"/>
      <c r="C9" s="25"/>
      <c r="D9" s="74"/>
      <c r="E9" s="74"/>
      <c r="F9" s="74"/>
      <c r="G9" s="74"/>
      <c r="H9" s="74"/>
      <c r="I9" s="74"/>
      <c r="J9" s="74"/>
      <c r="K9" s="74"/>
      <c r="L9" s="74"/>
      <c r="M9" s="74"/>
      <c r="N9" s="74"/>
      <c r="O9" s="75"/>
      <c r="P9" s="22"/>
    </row>
    <row r="10" spans="1:16" ht="24.95" customHeight="1" thickBot="1" x14ac:dyDescent="0.3">
      <c r="A10" s="17"/>
      <c r="B10" s="38" t="s">
        <v>14</v>
      </c>
      <c r="C10" s="91" t="s">
        <v>36</v>
      </c>
      <c r="D10" s="80" t="s">
        <v>37</v>
      </c>
      <c r="E10" s="80" t="s">
        <v>38</v>
      </c>
      <c r="F10" s="80" t="s">
        <v>39</v>
      </c>
      <c r="G10" s="80" t="s">
        <v>40</v>
      </c>
      <c r="H10" s="80" t="s">
        <v>41</v>
      </c>
      <c r="I10" s="80" t="s">
        <v>42</v>
      </c>
      <c r="J10" s="80" t="s">
        <v>43</v>
      </c>
      <c r="K10" s="80" t="s">
        <v>46</v>
      </c>
      <c r="L10" s="80" t="s">
        <v>47</v>
      </c>
      <c r="M10" s="80" t="s">
        <v>48</v>
      </c>
      <c r="N10" s="80" t="s">
        <v>49</v>
      </c>
      <c r="O10" s="81" t="s">
        <v>50</v>
      </c>
      <c r="P10" s="22"/>
    </row>
    <row r="11" spans="1:16" ht="24.95" customHeight="1" thickBot="1" x14ac:dyDescent="0.3">
      <c r="A11" s="17"/>
      <c r="B11" s="23" t="s">
        <v>15</v>
      </c>
      <c r="C11" s="102">
        <v>9800</v>
      </c>
      <c r="D11" s="103">
        <v>9800</v>
      </c>
      <c r="E11" s="103">
        <v>9800</v>
      </c>
      <c r="F11" s="103">
        <v>9800</v>
      </c>
      <c r="G11" s="103">
        <v>9800</v>
      </c>
      <c r="H11" s="103">
        <v>9800</v>
      </c>
      <c r="I11" s="103"/>
      <c r="J11" s="103"/>
      <c r="K11" s="103"/>
      <c r="L11" s="103"/>
      <c r="M11" s="103"/>
      <c r="N11" s="103"/>
      <c r="O11" s="104">
        <f t="shared" ref="O11:O18" si="1">SUM(C11:N11)</f>
        <v>58800</v>
      </c>
      <c r="P11" s="22"/>
    </row>
    <row r="12" spans="1:16" ht="24.95" customHeight="1" thickBot="1" x14ac:dyDescent="0.3">
      <c r="A12" s="17"/>
      <c r="B12" s="23" t="s">
        <v>16</v>
      </c>
      <c r="C12" s="102">
        <v>4</v>
      </c>
      <c r="D12" s="103">
        <v>430</v>
      </c>
      <c r="E12" s="103">
        <v>385</v>
      </c>
      <c r="F12" s="103">
        <v>230</v>
      </c>
      <c r="G12" s="103">
        <v>87</v>
      </c>
      <c r="H12" s="103">
        <v>88</v>
      </c>
      <c r="I12" s="103"/>
      <c r="J12" s="103"/>
      <c r="K12" s="103"/>
      <c r="L12" s="103"/>
      <c r="M12" s="103"/>
      <c r="N12" s="103"/>
      <c r="O12" s="104">
        <f t="shared" si="1"/>
        <v>1224</v>
      </c>
      <c r="P12" s="22"/>
    </row>
    <row r="13" spans="1:16" ht="24.95" customHeight="1" thickBot="1" x14ac:dyDescent="0.3">
      <c r="A13" s="17"/>
      <c r="B13" s="23" t="s">
        <v>17</v>
      </c>
      <c r="C13" s="102">
        <v>288</v>
      </c>
      <c r="D13" s="103">
        <v>278</v>
      </c>
      <c r="E13" s="103">
        <v>268</v>
      </c>
      <c r="F13" s="103">
        <v>299</v>
      </c>
      <c r="G13" s="103">
        <v>306</v>
      </c>
      <c r="H13" s="103">
        <v>290</v>
      </c>
      <c r="I13" s="103"/>
      <c r="J13" s="103"/>
      <c r="K13" s="103"/>
      <c r="L13" s="103"/>
      <c r="M13" s="103"/>
      <c r="N13" s="103"/>
      <c r="O13" s="104">
        <f t="shared" si="1"/>
        <v>1729</v>
      </c>
      <c r="P13" s="22"/>
    </row>
    <row r="14" spans="1:16" ht="24.95" customHeight="1" thickBot="1" x14ac:dyDescent="0.3">
      <c r="A14" s="17"/>
      <c r="B14" s="23" t="s">
        <v>18</v>
      </c>
      <c r="C14" s="102">
        <v>35</v>
      </c>
      <c r="D14" s="103">
        <v>33</v>
      </c>
      <c r="E14" s="103">
        <v>34</v>
      </c>
      <c r="F14" s="103">
        <v>36</v>
      </c>
      <c r="G14" s="103">
        <v>34</v>
      </c>
      <c r="H14" s="103">
        <v>36</v>
      </c>
      <c r="I14" s="103"/>
      <c r="J14" s="103"/>
      <c r="K14" s="103"/>
      <c r="L14" s="103"/>
      <c r="M14" s="103"/>
      <c r="N14" s="103"/>
      <c r="O14" s="104">
        <f t="shared" si="1"/>
        <v>208</v>
      </c>
      <c r="P14" s="22"/>
    </row>
    <row r="15" spans="1:16" ht="24.95" customHeight="1" thickBot="1" x14ac:dyDescent="0.3">
      <c r="A15" s="17"/>
      <c r="B15" s="23" t="s">
        <v>19</v>
      </c>
      <c r="C15" s="102">
        <v>224</v>
      </c>
      <c r="D15" s="103">
        <v>235</v>
      </c>
      <c r="E15" s="103">
        <v>265</v>
      </c>
      <c r="F15" s="103">
        <v>245</v>
      </c>
      <c r="G15" s="103">
        <v>245</v>
      </c>
      <c r="H15" s="103">
        <v>220</v>
      </c>
      <c r="I15" s="103"/>
      <c r="J15" s="103"/>
      <c r="K15" s="103"/>
      <c r="L15" s="103"/>
      <c r="M15" s="103"/>
      <c r="N15" s="103"/>
      <c r="O15" s="104">
        <f t="shared" si="1"/>
        <v>1434</v>
      </c>
      <c r="P15" s="22"/>
    </row>
    <row r="16" spans="1:16" ht="24.95" customHeight="1" thickBot="1" x14ac:dyDescent="0.3">
      <c r="A16" s="17"/>
      <c r="B16" s="23" t="s">
        <v>20</v>
      </c>
      <c r="C16" s="102">
        <v>180</v>
      </c>
      <c r="D16" s="103">
        <v>180</v>
      </c>
      <c r="E16" s="103">
        <v>180</v>
      </c>
      <c r="F16" s="103">
        <v>180</v>
      </c>
      <c r="G16" s="103">
        <v>180</v>
      </c>
      <c r="H16" s="103">
        <v>180</v>
      </c>
      <c r="I16" s="103"/>
      <c r="J16" s="103"/>
      <c r="K16" s="103"/>
      <c r="L16" s="103"/>
      <c r="M16" s="103"/>
      <c r="N16" s="103"/>
      <c r="O16" s="104">
        <f t="shared" si="1"/>
        <v>1080</v>
      </c>
      <c r="P16" s="22"/>
    </row>
    <row r="17" spans="1:16" ht="24.95" customHeight="1" thickBot="1" x14ac:dyDescent="0.3">
      <c r="A17" s="17"/>
      <c r="B17" s="23" t="s">
        <v>21</v>
      </c>
      <c r="C17" s="102">
        <v>256</v>
      </c>
      <c r="D17" s="103">
        <v>142</v>
      </c>
      <c r="E17" s="103">
        <v>160</v>
      </c>
      <c r="F17" s="103">
        <v>221</v>
      </c>
      <c r="G17" s="103">
        <v>256</v>
      </c>
      <c r="H17" s="103">
        <v>240</v>
      </c>
      <c r="I17" s="103"/>
      <c r="J17" s="103"/>
      <c r="K17" s="103"/>
      <c r="L17" s="103"/>
      <c r="M17" s="103"/>
      <c r="N17" s="103"/>
      <c r="O17" s="104">
        <f t="shared" si="1"/>
        <v>1275</v>
      </c>
      <c r="P17" s="22"/>
    </row>
    <row r="18" spans="1:16" ht="24.95" customHeight="1" thickBot="1" x14ac:dyDescent="0.3">
      <c r="A18" s="17"/>
      <c r="B18" s="23" t="s">
        <v>22</v>
      </c>
      <c r="C18" s="102">
        <v>600</v>
      </c>
      <c r="D18" s="103">
        <v>600</v>
      </c>
      <c r="E18" s="103">
        <v>600</v>
      </c>
      <c r="F18" s="103">
        <v>600</v>
      </c>
      <c r="G18" s="103">
        <v>600</v>
      </c>
      <c r="H18" s="103">
        <v>600</v>
      </c>
      <c r="I18" s="103"/>
      <c r="J18" s="103"/>
      <c r="K18" s="103"/>
      <c r="L18" s="103"/>
      <c r="M18" s="103"/>
      <c r="N18" s="103"/>
      <c r="O18" s="104">
        <f t="shared" si="1"/>
        <v>3600</v>
      </c>
      <c r="P18" s="22"/>
    </row>
    <row r="19" spans="1:16" ht="24.95" customHeight="1" x14ac:dyDescent="0.25">
      <c r="A19" s="17"/>
      <c r="B19" s="39" t="s">
        <v>13</v>
      </c>
      <c r="C19" s="105">
        <f>SUBTOTAL(109,OfficeActual[ינו])</f>
        <v>11387</v>
      </c>
      <c r="D19" s="105">
        <f>SUBTOTAL(109,OfficeActual[פבר])</f>
        <v>11698</v>
      </c>
      <c r="E19" s="105">
        <f>SUBTOTAL(109,OfficeActual[מרץ])</f>
        <v>11692</v>
      </c>
      <c r="F19" s="105">
        <f>SUBTOTAL(109,OfficeActual[אפר])</f>
        <v>11611</v>
      </c>
      <c r="G19" s="105">
        <f>SUBTOTAL(109,OfficeActual[מאי])</f>
        <v>11508</v>
      </c>
      <c r="H19" s="105">
        <f>SUBTOTAL(109,OfficeActual[יונ])</f>
        <v>11454</v>
      </c>
      <c r="I19" s="105">
        <f>SUBTOTAL(109,OfficeActual[יול])</f>
        <v>0</v>
      </c>
      <c r="J19" s="105">
        <f>SUBTOTAL(109,OfficeActual[אוג])</f>
        <v>0</v>
      </c>
      <c r="K19" s="105">
        <f>SUBTOTAL(109,OfficeActual[ספט])</f>
        <v>0</v>
      </c>
      <c r="L19" s="105">
        <f>SUBTOTAL(109,OfficeActual[אוק])</f>
        <v>0</v>
      </c>
      <c r="M19" s="105">
        <f>SUBTOTAL(109,OfficeActual[נוב])</f>
        <v>0</v>
      </c>
      <c r="N19" s="105">
        <f>SUBTOTAL(109,OfficeActual[דצמ])</f>
        <v>0</v>
      </c>
      <c r="O19" s="106">
        <f>SUBTOTAL(109,OfficeActual[שנה])</f>
        <v>69350</v>
      </c>
      <c r="P19" s="22"/>
    </row>
    <row r="20" spans="1:16" ht="21" customHeight="1" x14ac:dyDescent="0.25">
      <c r="A20" s="17"/>
      <c r="B20" s="29"/>
      <c r="C20" s="29"/>
      <c r="D20" s="74"/>
      <c r="E20" s="74"/>
      <c r="F20" s="79"/>
      <c r="G20" s="79"/>
      <c r="H20" s="79"/>
      <c r="I20" s="79"/>
      <c r="J20" s="79"/>
      <c r="K20" s="79"/>
      <c r="L20" s="79"/>
      <c r="M20" s="79"/>
      <c r="N20" s="79"/>
      <c r="O20" s="75"/>
      <c r="P20" s="22"/>
    </row>
    <row r="21" spans="1:16" ht="24.95" customHeight="1" thickBot="1" x14ac:dyDescent="0.3">
      <c r="A21" s="17"/>
      <c r="B21" s="40" t="s">
        <v>23</v>
      </c>
      <c r="C21" s="91" t="s">
        <v>36</v>
      </c>
      <c r="D21" s="80" t="s">
        <v>37</v>
      </c>
      <c r="E21" s="80" t="s">
        <v>38</v>
      </c>
      <c r="F21" s="80" t="s">
        <v>39</v>
      </c>
      <c r="G21" s="80" t="s">
        <v>40</v>
      </c>
      <c r="H21" s="80" t="s">
        <v>41</v>
      </c>
      <c r="I21" s="80" t="s">
        <v>42</v>
      </c>
      <c r="J21" s="80" t="s">
        <v>43</v>
      </c>
      <c r="K21" s="80" t="s">
        <v>46</v>
      </c>
      <c r="L21" s="80" t="s">
        <v>47</v>
      </c>
      <c r="M21" s="80" t="s">
        <v>48</v>
      </c>
      <c r="N21" s="80" t="s">
        <v>49</v>
      </c>
      <c r="O21" s="81" t="s">
        <v>50</v>
      </c>
      <c r="P21" s="22"/>
    </row>
    <row r="22" spans="1:16" ht="24.95" customHeight="1" thickBot="1" x14ac:dyDescent="0.3">
      <c r="A22" s="17"/>
      <c r="B22" s="23" t="s">
        <v>24</v>
      </c>
      <c r="C22" s="102">
        <v>500</v>
      </c>
      <c r="D22" s="103">
        <v>500</v>
      </c>
      <c r="E22" s="103">
        <v>500</v>
      </c>
      <c r="F22" s="103">
        <v>500</v>
      </c>
      <c r="G22" s="103">
        <v>500</v>
      </c>
      <c r="H22" s="103">
        <v>500</v>
      </c>
      <c r="I22" s="103"/>
      <c r="J22" s="103"/>
      <c r="K22" s="103"/>
      <c r="L22" s="103"/>
      <c r="M22" s="103"/>
      <c r="N22" s="103"/>
      <c r="O22" s="104">
        <f t="shared" ref="O22:O27" si="2">SUM(C22:N22)</f>
        <v>3000</v>
      </c>
      <c r="P22" s="22"/>
    </row>
    <row r="23" spans="1:16" ht="24.95" customHeight="1" thickBot="1" x14ac:dyDescent="0.3">
      <c r="A23" s="17"/>
      <c r="B23" s="23" t="s">
        <v>25</v>
      </c>
      <c r="C23" s="102">
        <v>200</v>
      </c>
      <c r="D23" s="103">
        <v>200</v>
      </c>
      <c r="E23" s="103">
        <v>200</v>
      </c>
      <c r="F23" s="103">
        <v>200</v>
      </c>
      <c r="G23" s="103">
        <v>200</v>
      </c>
      <c r="H23" s="103">
        <v>1500</v>
      </c>
      <c r="I23" s="103"/>
      <c r="J23" s="103"/>
      <c r="K23" s="103"/>
      <c r="L23" s="103"/>
      <c r="M23" s="103"/>
      <c r="N23" s="103"/>
      <c r="O23" s="104">
        <f t="shared" si="2"/>
        <v>2500</v>
      </c>
      <c r="P23" s="22"/>
    </row>
    <row r="24" spans="1:16" ht="24.95" customHeight="1" thickBot="1" x14ac:dyDescent="0.3">
      <c r="A24" s="17"/>
      <c r="B24" s="23" t="s">
        <v>26</v>
      </c>
      <c r="C24" s="102">
        <v>4800</v>
      </c>
      <c r="D24" s="103">
        <v>0</v>
      </c>
      <c r="E24" s="103">
        <v>0</v>
      </c>
      <c r="F24" s="103">
        <v>5500</v>
      </c>
      <c r="G24" s="103">
        <v>0</v>
      </c>
      <c r="H24" s="103">
        <v>0</v>
      </c>
      <c r="I24" s="103"/>
      <c r="J24" s="103"/>
      <c r="K24" s="103"/>
      <c r="L24" s="103"/>
      <c r="M24" s="103"/>
      <c r="N24" s="103"/>
      <c r="O24" s="104">
        <f t="shared" si="2"/>
        <v>10300</v>
      </c>
      <c r="P24" s="22"/>
    </row>
    <row r="25" spans="1:16" ht="24.95" customHeight="1" thickBot="1" x14ac:dyDescent="0.3">
      <c r="A25" s="17"/>
      <c r="B25" s="23" t="s">
        <v>27</v>
      </c>
      <c r="C25" s="102">
        <v>100</v>
      </c>
      <c r="D25" s="103">
        <v>500</v>
      </c>
      <c r="E25" s="103">
        <v>100</v>
      </c>
      <c r="F25" s="103">
        <v>100</v>
      </c>
      <c r="G25" s="103">
        <v>600</v>
      </c>
      <c r="H25" s="103">
        <v>180</v>
      </c>
      <c r="I25" s="103"/>
      <c r="J25" s="103"/>
      <c r="K25" s="103"/>
      <c r="L25" s="103"/>
      <c r="M25" s="103"/>
      <c r="N25" s="103"/>
      <c r="O25" s="104">
        <f t="shared" si="2"/>
        <v>1580</v>
      </c>
      <c r="P25" s="22"/>
    </row>
    <row r="26" spans="1:16" ht="24.95" customHeight="1" thickBot="1" x14ac:dyDescent="0.3">
      <c r="A26" s="17"/>
      <c r="B26" s="23" t="s">
        <v>28</v>
      </c>
      <c r="C26" s="102">
        <v>1800</v>
      </c>
      <c r="D26" s="103">
        <v>2200</v>
      </c>
      <c r="E26" s="103">
        <v>2200</v>
      </c>
      <c r="F26" s="103">
        <v>4700</v>
      </c>
      <c r="G26" s="103">
        <v>1500</v>
      </c>
      <c r="H26" s="103">
        <v>2300</v>
      </c>
      <c r="I26" s="103"/>
      <c r="J26" s="103"/>
      <c r="K26" s="103"/>
      <c r="L26" s="103"/>
      <c r="M26" s="103"/>
      <c r="N26" s="103"/>
      <c r="O26" s="104">
        <f t="shared" si="2"/>
        <v>14700</v>
      </c>
      <c r="P26" s="22"/>
    </row>
    <row r="27" spans="1:16" ht="24.95" customHeight="1" thickBot="1" x14ac:dyDescent="0.3">
      <c r="A27" s="17"/>
      <c r="B27" s="23" t="s">
        <v>29</v>
      </c>
      <c r="C27" s="102">
        <v>145</v>
      </c>
      <c r="D27" s="103">
        <v>156</v>
      </c>
      <c r="E27" s="103">
        <v>123</v>
      </c>
      <c r="F27" s="103">
        <v>223</v>
      </c>
      <c r="G27" s="103">
        <v>187</v>
      </c>
      <c r="H27" s="103">
        <v>245</v>
      </c>
      <c r="I27" s="103"/>
      <c r="J27" s="103"/>
      <c r="K27" s="103"/>
      <c r="L27" s="103"/>
      <c r="M27" s="103"/>
      <c r="N27" s="103"/>
      <c r="O27" s="104">
        <f t="shared" si="2"/>
        <v>1079</v>
      </c>
      <c r="P27" s="22"/>
    </row>
    <row r="28" spans="1:16" ht="24.95" customHeight="1" x14ac:dyDescent="0.25">
      <c r="A28" s="17"/>
      <c r="B28" s="41" t="s">
        <v>13</v>
      </c>
      <c r="C28" s="97">
        <f>SUBTOTAL(109,MarketingActual[ינו])</f>
        <v>7545</v>
      </c>
      <c r="D28" s="105">
        <f>SUBTOTAL(109,MarketingActual[פבר])</f>
        <v>3556</v>
      </c>
      <c r="E28" s="105">
        <f>SUBTOTAL(109,MarketingActual[מרץ])</f>
        <v>3123</v>
      </c>
      <c r="F28" s="105">
        <f>SUBTOTAL(109,MarketingActual[אפר])</f>
        <v>11223</v>
      </c>
      <c r="G28" s="105">
        <f>SUBTOTAL(109,MarketingActual[מאי])</f>
        <v>2987</v>
      </c>
      <c r="H28" s="105">
        <f>SUBTOTAL(109,MarketingActual[יונ])</f>
        <v>4725</v>
      </c>
      <c r="I28" s="105">
        <f>SUBTOTAL(109,MarketingActual[יול])</f>
        <v>0</v>
      </c>
      <c r="J28" s="105">
        <f>SUBTOTAL(109,MarketingActual[אוג])</f>
        <v>0</v>
      </c>
      <c r="K28" s="105">
        <f>SUBTOTAL(109,MarketingActual[ספט])</f>
        <v>0</v>
      </c>
      <c r="L28" s="105">
        <f>SUBTOTAL(109,MarketingActual[אוק])</f>
        <v>0</v>
      </c>
      <c r="M28" s="105">
        <f>SUBTOTAL(109,MarketingActual[נוב])</f>
        <v>0</v>
      </c>
      <c r="N28" s="105">
        <f>SUBTOTAL(109,MarketingActual[דצמ])</f>
        <v>0</v>
      </c>
      <c r="O28" s="106">
        <f>SUBTOTAL(109,MarketingActual[שנה])</f>
        <v>33159</v>
      </c>
      <c r="P28" s="22"/>
    </row>
    <row r="29" spans="1:16" ht="21" customHeight="1" x14ac:dyDescent="0.25">
      <c r="A29" s="17"/>
      <c r="B29" s="25"/>
      <c r="C29" s="25"/>
      <c r="D29" s="79"/>
      <c r="E29" s="79"/>
      <c r="F29" s="79"/>
      <c r="G29" s="79"/>
      <c r="H29" s="79"/>
      <c r="I29" s="79"/>
      <c r="J29" s="79"/>
      <c r="K29" s="79"/>
      <c r="L29" s="79"/>
      <c r="M29" s="79"/>
      <c r="N29" s="79"/>
      <c r="O29" s="75"/>
      <c r="P29" s="22"/>
    </row>
    <row r="30" spans="1:16" ht="24.95" customHeight="1" thickBot="1" x14ac:dyDescent="0.3">
      <c r="A30" s="17"/>
      <c r="B30" s="32" t="s">
        <v>30</v>
      </c>
      <c r="C30" s="80" t="s">
        <v>36</v>
      </c>
      <c r="D30" s="80" t="s">
        <v>37</v>
      </c>
      <c r="E30" s="80" t="s">
        <v>38</v>
      </c>
      <c r="F30" s="80" t="s">
        <v>39</v>
      </c>
      <c r="G30" s="80" t="s">
        <v>40</v>
      </c>
      <c r="H30" s="80" t="s">
        <v>41</v>
      </c>
      <c r="I30" s="80" t="s">
        <v>42</v>
      </c>
      <c r="J30" s="80" t="s">
        <v>43</v>
      </c>
      <c r="K30" s="80" t="s">
        <v>46</v>
      </c>
      <c r="L30" s="80" t="s">
        <v>47</v>
      </c>
      <c r="M30" s="80" t="s">
        <v>48</v>
      </c>
      <c r="N30" s="80" t="s">
        <v>49</v>
      </c>
      <c r="O30" s="81" t="s">
        <v>50</v>
      </c>
      <c r="P30" s="22"/>
    </row>
    <row r="31" spans="1:16" ht="24.95" customHeight="1" thickBot="1" x14ac:dyDescent="0.3">
      <c r="A31" s="17"/>
      <c r="B31" s="42" t="s">
        <v>31</v>
      </c>
      <c r="C31" s="103">
        <v>1600</v>
      </c>
      <c r="D31" s="103">
        <v>2400</v>
      </c>
      <c r="E31" s="103">
        <v>1400</v>
      </c>
      <c r="F31" s="103">
        <v>1600</v>
      </c>
      <c r="G31" s="103">
        <v>1200</v>
      </c>
      <c r="H31" s="103">
        <v>2800</v>
      </c>
      <c r="I31" s="103"/>
      <c r="J31" s="103"/>
      <c r="K31" s="103"/>
      <c r="L31" s="103"/>
      <c r="M31" s="103"/>
      <c r="N31" s="103"/>
      <c r="O31" s="104">
        <f>SUM(C31:N31)</f>
        <v>11000</v>
      </c>
      <c r="P31" s="22"/>
    </row>
    <row r="32" spans="1:16" ht="24.95" customHeight="1" thickBot="1" x14ac:dyDescent="0.3">
      <c r="A32" s="17"/>
      <c r="B32" s="42" t="s">
        <v>32</v>
      </c>
      <c r="C32" s="103">
        <v>1200</v>
      </c>
      <c r="D32" s="103">
        <v>2200</v>
      </c>
      <c r="E32" s="103">
        <v>1400</v>
      </c>
      <c r="F32" s="103">
        <v>1200</v>
      </c>
      <c r="G32" s="103">
        <v>800</v>
      </c>
      <c r="H32" s="103">
        <v>3500</v>
      </c>
      <c r="I32" s="103"/>
      <c r="J32" s="103"/>
      <c r="K32" s="103"/>
      <c r="L32" s="103"/>
      <c r="M32" s="103"/>
      <c r="N32" s="103"/>
      <c r="O32" s="104">
        <f>SUM(C32:N32)</f>
        <v>10300</v>
      </c>
      <c r="P32" s="22"/>
    </row>
    <row r="33" spans="1:16" ht="24.95" customHeight="1" x14ac:dyDescent="0.25">
      <c r="A33" s="17"/>
      <c r="B33" s="39" t="s">
        <v>13</v>
      </c>
      <c r="C33" s="105">
        <f>SUBTOTAL(109,TrainingAndTravelActual[ינו])</f>
        <v>2800</v>
      </c>
      <c r="D33" s="105">
        <f>SUBTOTAL(109,TrainingAndTravelActual[פבר])</f>
        <v>4600</v>
      </c>
      <c r="E33" s="105">
        <f>SUBTOTAL(109,TrainingAndTravelActual[מרץ])</f>
        <v>2800</v>
      </c>
      <c r="F33" s="105">
        <f>SUBTOTAL(109,TrainingAndTravelActual[אפר])</f>
        <v>2800</v>
      </c>
      <c r="G33" s="105">
        <f>SUBTOTAL(109,TrainingAndTravelActual[מאי])</f>
        <v>2000</v>
      </c>
      <c r="H33" s="105">
        <f>SUBTOTAL(109,TrainingAndTravelActual[יונ])</f>
        <v>6300</v>
      </c>
      <c r="I33" s="105">
        <f>SUBTOTAL(109,TrainingAndTravelActual[יול])</f>
        <v>0</v>
      </c>
      <c r="J33" s="105">
        <f>SUBTOTAL(109,TrainingAndTravelActual[אוג])</f>
        <v>0</v>
      </c>
      <c r="K33" s="105">
        <f>SUBTOTAL(109,TrainingAndTravelActual[ספט])</f>
        <v>0</v>
      </c>
      <c r="L33" s="105">
        <f>SUBTOTAL(109,TrainingAndTravelActual[אוק])</f>
        <v>0</v>
      </c>
      <c r="M33" s="105">
        <f>SUBTOTAL(109,TrainingAndTravelActual[נוב])</f>
        <v>0</v>
      </c>
      <c r="N33" s="105">
        <f>SUBTOTAL(109,TrainingAndTravelActual[דצמ])</f>
        <v>0</v>
      </c>
      <c r="O33" s="106">
        <f>SUBTOTAL(109,TrainingAndTravelActual[שנה])</f>
        <v>21300</v>
      </c>
      <c r="P33" s="22"/>
    </row>
    <row r="34" spans="1:16" ht="21" customHeight="1" x14ac:dyDescent="0.25">
      <c r="A34" s="17"/>
      <c r="B34" s="25"/>
      <c r="C34" s="25"/>
      <c r="D34" s="75"/>
      <c r="E34" s="75"/>
      <c r="F34" s="75"/>
      <c r="G34" s="75"/>
      <c r="H34" s="75"/>
      <c r="I34" s="75"/>
      <c r="J34" s="75"/>
      <c r="K34" s="75"/>
      <c r="L34" s="75"/>
      <c r="M34" s="75"/>
      <c r="N34" s="75"/>
      <c r="O34" s="75"/>
      <c r="P34" s="22"/>
    </row>
    <row r="35" spans="1:16" ht="24.95" customHeight="1" thickBot="1" x14ac:dyDescent="0.3">
      <c r="A35" s="17"/>
      <c r="B35" s="43" t="s">
        <v>35</v>
      </c>
      <c r="C35" s="44" t="s">
        <v>36</v>
      </c>
      <c r="D35" s="44" t="s">
        <v>37</v>
      </c>
      <c r="E35" s="44" t="s">
        <v>38</v>
      </c>
      <c r="F35" s="44" t="s">
        <v>39</v>
      </c>
      <c r="G35" s="44" t="s">
        <v>40</v>
      </c>
      <c r="H35" s="44" t="s">
        <v>41</v>
      </c>
      <c r="I35" s="44" t="s">
        <v>42</v>
      </c>
      <c r="J35" s="44" t="s">
        <v>43</v>
      </c>
      <c r="K35" s="44" t="s">
        <v>46</v>
      </c>
      <c r="L35" s="44" t="s">
        <v>47</v>
      </c>
      <c r="M35" s="44" t="s">
        <v>48</v>
      </c>
      <c r="N35" s="44" t="s">
        <v>49</v>
      </c>
      <c r="O35" s="45" t="s">
        <v>50</v>
      </c>
      <c r="P35" s="22"/>
    </row>
    <row r="36" spans="1:16" ht="24.95" customHeight="1" thickBot="1" x14ac:dyDescent="0.3">
      <c r="A36" s="17"/>
      <c r="B36" s="46" t="s">
        <v>53</v>
      </c>
      <c r="C36" s="92">
        <f>TrainingAndTravelActual[[#Totals],[ינו]]+MarketingActual[[#Totals],[ינו]]+OfficeActual[[#Totals],[ינו]]+EmployeeActual[[#Totals],[ינו]]</f>
        <v>129682</v>
      </c>
      <c r="D36" s="93">
        <f>TrainingAndTravelActual[[#Totals],[פבר]]+MarketingActual[[#Totals],[פבר]]+OfficeActual[[#Totals],[פבר]]+EmployeeActual[[#Totals],[פבר]]</f>
        <v>127804</v>
      </c>
      <c r="E36" s="93">
        <f>TrainingAndTravelActual[[#Totals],[מרץ]]+MarketingActual[[#Totals],[מרץ]]+OfficeActual[[#Totals],[מרץ]]+EmployeeActual[[#Totals],[מרץ]]</f>
        <v>125565</v>
      </c>
      <c r="F36" s="93">
        <f>TrainingAndTravelActual[[#Totals],[אפר]]+MarketingActual[[#Totals],[אפר]]+OfficeActual[[#Totals],[אפר]]+EmployeeActual[[#Totals],[אפר]]</f>
        <v>137394</v>
      </c>
      <c r="G36" s="93">
        <f>TrainingAndTravelActual[[#Totals],[מאי]]+MarketingActual[[#Totals],[מאי]]+OfficeActual[[#Totals],[מאי]]+EmployeeActual[[#Totals],[מאי]]</f>
        <v>128255</v>
      </c>
      <c r="H36" s="93">
        <f>TrainingAndTravelActual[[#Totals],[יונ]]+MarketingActual[[#Totals],[יונ]]+OfficeActual[[#Totals],[יונ]]+EmployeeActual[[#Totals],[יונ]]</f>
        <v>134239</v>
      </c>
      <c r="I36" s="93">
        <f>TrainingAndTravelActual[[#Totals],[יול]]+MarketingActual[[#Totals],[יול]]+OfficeActual[[#Totals],[יול]]+EmployeeActual[[#Totals],[יול]]</f>
        <v>0</v>
      </c>
      <c r="J36" s="93">
        <f>TrainingAndTravelActual[[#Totals],[אוג]]+MarketingActual[[#Totals],[אוג]]+OfficeActual[[#Totals],[אוג]]+EmployeeActual[[#Totals],[אוג]]</f>
        <v>0</v>
      </c>
      <c r="K36" s="93">
        <f>TrainingAndTravelActual[[#Totals],[ספט]]+MarketingActual[[#Totals],[ספט]]+OfficeActual[[#Totals],[ספט]]+EmployeeActual[[#Totals],[ספט]]</f>
        <v>0</v>
      </c>
      <c r="L36" s="93">
        <f>TrainingAndTravelActual[[#Totals],[אוק]]+MarketingActual[[#Totals],[אוק]]+OfficeActual[[#Totals],[אוק]]+EmployeeActual[[#Totals],[אוק]]</f>
        <v>0</v>
      </c>
      <c r="M36" s="93">
        <f>TrainingAndTravelActual[[#Totals],[נוב]]+MarketingActual[[#Totals],[נוב]]+OfficeActual[[#Totals],[נוב]]+EmployeeActual[[#Totals],[נוב]]</f>
        <v>0</v>
      </c>
      <c r="N36" s="93">
        <f>TrainingAndTravelActual[[#Totals],[דצמ]]+MarketingActual[[#Totals],[דצמ]]+OfficeActual[[#Totals],[דצמ]]+EmployeeActual[[#Totals],[דצמ]]</f>
        <v>0</v>
      </c>
      <c r="O36" s="93">
        <f>TrainingAndTravelActual[[#Totals],[שנה]]+MarketingActual[[#Totals],[שנה]]+OfficeActual[[#Totals],[שנה]]+EmployeeActual[[#Totals],[שנה]]</f>
        <v>782939</v>
      </c>
      <c r="P36" s="69"/>
    </row>
    <row r="37" spans="1:16" ht="24.95" customHeight="1" thickBot="1" x14ac:dyDescent="0.3">
      <c r="A37" s="17"/>
      <c r="B37" s="46" t="s">
        <v>54</v>
      </c>
      <c r="C37" s="94">
        <f>SUM($C$36:C36)</f>
        <v>129682</v>
      </c>
      <c r="D37" s="95">
        <f>SUM($C$36:D36)</f>
        <v>257486</v>
      </c>
      <c r="E37" s="95">
        <f>SUM($C$36:E36)</f>
        <v>383051</v>
      </c>
      <c r="F37" s="95">
        <f>SUM($C$36:F36)</f>
        <v>520445</v>
      </c>
      <c r="G37" s="95">
        <f>SUM($C$36:G36)</f>
        <v>648700</v>
      </c>
      <c r="H37" s="96">
        <f>SUM($C$36:H36)</f>
        <v>782939</v>
      </c>
      <c r="I37" s="95">
        <f>SUM($C$36:I36)</f>
        <v>782939</v>
      </c>
      <c r="J37" s="95">
        <f>SUM($C$36:J36)</f>
        <v>782939</v>
      </c>
      <c r="K37" s="95">
        <f>SUM($C$36:K36)</f>
        <v>782939</v>
      </c>
      <c r="L37" s="95">
        <f>SUM($C$36:L36)</f>
        <v>782939</v>
      </c>
      <c r="M37" s="96">
        <f>SUM($C$36:M36)</f>
        <v>782939</v>
      </c>
      <c r="N37" s="95">
        <f>SUM($C$36:N36)</f>
        <v>782939</v>
      </c>
      <c r="O37" s="96"/>
      <c r="P37" s="69"/>
    </row>
    <row r="38" spans="1:16" ht="21" customHeight="1" x14ac:dyDescent="0.25">
      <c r="L38" s="48"/>
      <c r="M38" s="48"/>
      <c r="N38" s="48"/>
      <c r="O38" s="48"/>
    </row>
  </sheetData>
  <mergeCells count="2">
    <mergeCell ref="K2:M2"/>
    <mergeCell ref="K3:M3"/>
  </mergeCells>
  <dataValidations count="9">
    <dataValidation allowBlank="1" showInputMessage="1" showErrorMessage="1" prompt="מציין המיקום של הסמל מופיע בתא זה." sqref="N2" xr:uid="{C95257D8-3930-4F5C-8D70-88B292233801}"/>
    <dataValidation allowBlank="1" showInputMessage="1" showErrorMessage="1" prompt="ההוצאות הכוללות בפועל מחושבות באופן אוטומטי בטבלה שמתחילה בתא משמאל." sqref="A4" xr:uid="{177C6CBD-70F5-4EE0-A8BD-78C9CA33B2BD}"/>
    <dataValidation allowBlank="1" showInputMessage="1" showErrorMessage="1" prompt="הזן את עלויות העובדים בפועל בטבלה שמתחילה בתא משמאל. ההוראה הבאה נמצאת בתא A10." sqref="A5" xr:uid="{C3141D3D-0B91-4F53-BE3F-38687FD87D6B}"/>
    <dataValidation allowBlank="1" showInputMessage="1" showErrorMessage="1" prompt="הזן את העלויות המשרדיות בטבלה 'עלויות משרדיות בפועל' שמתחילה בתא משמאל. ההוראה הבאה נמצאת בתא A21." sqref="A10" xr:uid="{6B251561-6C81-4CE6-8EBF-9D5790C7CB5E}"/>
    <dataValidation allowBlank="1" showInputMessage="1" showErrorMessage="1" prompt="הזן את העלויות השיווק בטבלה 'הוצאות שיווק בפועל' שמתחילה בתא משמאל. ההוראה הבאה נמצאת בתא A30." sqref="A21" xr:uid="{D284BFB1-3C99-4A34-BA1D-2099E5838FB2}"/>
    <dataValidation allowBlank="1" showInputMessage="1" showErrorMessage="1" prompt="הזן את עלויות ההדרכה והנסיעה בפועל בטבלה שמתחילה בתא משמאל. ההוראה הבאה נמצאת בתא A35." sqref="A30" xr:uid="{255C7F8A-67BD-4F48-9D93-C907D407CF4C}"/>
    <dataValidation allowBlank="1" showInputMessage="1" showErrorMessage="1" prompt="הזן עלויות עובדים מתוכננות, עלויות משרדיות, עלויות שיווק וכן עלות הדרכה או עלות נסיעה בטבלאות המתאימות בגיליון עבודה זה. הסכומים הכוללים מחושבים באופן אוטומטי. הוראות לשימוש בגיליון עבודה זה נמצאות בתאים בעמודה זו. לחץ על חץ למטה כדי להתחיל בעבודה." sqref="A1" xr:uid="{79AE6394-A51C-466A-B4A1-C38D88BF4EBB}"/>
    <dataValidation allowBlank="1" showInputMessage="1" showErrorMessage="1" prompt="שם החברה מעודכן באופן אוטומטי בתא משמאל. כותרת של גיליון עבודה זה נמצאת בתא K2. הזן סמל בתא N2." sqref="A2" xr:uid="{26A4B1D9-8F73-440F-9A07-A3F7DBC9AEEF}"/>
    <dataValidation allowBlank="1" showInputMessage="1" showErrorMessage="1" prompt="העצה מופיעה בתא K3." sqref="A3" xr:uid="{7DD6B845-A534-4A07-B96C-7DC7C0D747FC}"/>
  </dataValidations>
  <pageMargins left="0.7" right="0.7" top="0.75" bottom="0.75" header="0.3" footer="0.3"/>
  <pageSetup paperSize="9" fitToHeight="0" orientation="portrait" r:id="rId1"/>
  <ignoredErrors>
    <ignoredError sqref="B2 O31:O33 O22:O28 O11:O19" emptyCellReference="1"/>
    <ignoredError sqref="C36:O37 C7:H7 C6:N6 O7" calculatedColumn="1"/>
    <ignoredError sqref="O6 I7:N7" emptyCellReference="1" calculatedColumn="1"/>
  </ignoredErrors>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7"/>
    <pageSetUpPr autoPageBreaks="0"/>
  </sheetPr>
  <dimension ref="A1:P38"/>
  <sheetViews>
    <sheetView showGridLines="0" rightToLeft="1" zoomScaleNormal="100" workbookViewId="0"/>
  </sheetViews>
  <sheetFormatPr defaultColWidth="9.140625" defaultRowHeight="21" customHeight="1" x14ac:dyDescent="0.25"/>
  <cols>
    <col min="1" max="1" width="4.7109375" style="9" customWidth="1"/>
    <col min="2" max="2" width="40.5703125" style="47" customWidth="1"/>
    <col min="3" max="14" width="17.5703125" style="47" customWidth="1"/>
    <col min="15" max="15" width="18.5703125" style="47" customWidth="1"/>
    <col min="16" max="16" width="4.7109375" style="9" customWidth="1"/>
    <col min="17" max="16384" width="9.140625" style="47"/>
  </cols>
  <sheetData>
    <row r="1" spans="1:16" s="9" customFormat="1" ht="24" customHeight="1" x14ac:dyDescent="0.25">
      <c r="A1" s="5"/>
      <c r="B1" s="6"/>
      <c r="C1" s="6"/>
      <c r="D1" s="6"/>
      <c r="E1" s="6"/>
      <c r="F1" s="7"/>
      <c r="G1" s="7"/>
      <c r="H1" s="7"/>
      <c r="I1" s="7"/>
      <c r="J1" s="7"/>
      <c r="K1" s="7"/>
      <c r="L1" s="7"/>
      <c r="M1" s="7"/>
      <c r="N1" s="7"/>
      <c r="O1" s="7"/>
      <c r="P1" s="8" t="s">
        <v>51</v>
      </c>
    </row>
    <row r="2" spans="1:16" s="9" customFormat="1" ht="45" customHeight="1" x14ac:dyDescent="0.25">
      <c r="A2" s="10"/>
      <c r="B2" s="11" t="str">
        <f>'הוצאות מתוכננות'!B2:D3</f>
        <v>שם החברה</v>
      </c>
      <c r="C2" s="11"/>
      <c r="D2" s="11"/>
      <c r="E2" s="12"/>
      <c r="F2" s="13"/>
      <c r="G2" s="13"/>
      <c r="H2" s="13"/>
      <c r="I2" s="13"/>
      <c r="J2" s="13"/>
      <c r="K2" s="128" t="str">
        <f>worksheet_title</f>
        <v>פירוט ההוצאות המשוערות</v>
      </c>
      <c r="L2" s="128"/>
      <c r="M2" s="128"/>
      <c r="N2" s="14"/>
      <c r="O2" s="14"/>
      <c r="P2" s="7"/>
    </row>
    <row r="3" spans="1:16" s="9" customFormat="1" ht="30" customHeight="1" x14ac:dyDescent="0.25">
      <c r="A3" s="10"/>
      <c r="B3" s="11"/>
      <c r="C3" s="11"/>
      <c r="D3" s="11"/>
      <c r="E3" s="15"/>
      <c r="F3" s="16"/>
      <c r="G3" s="16"/>
      <c r="H3" s="16"/>
      <c r="I3" s="16"/>
      <c r="J3" s="16"/>
      <c r="K3" s="130" t="s">
        <v>45</v>
      </c>
      <c r="L3" s="130"/>
      <c r="M3" s="130"/>
      <c r="N3" s="14"/>
      <c r="O3" s="14"/>
      <c r="P3" s="7"/>
    </row>
    <row r="4" spans="1:16" s="20" customFormat="1" ht="49.5" customHeight="1" x14ac:dyDescent="0.25">
      <c r="A4" s="17"/>
      <c r="B4" s="18" t="s">
        <v>55</v>
      </c>
      <c r="C4" s="70" t="s">
        <v>36</v>
      </c>
      <c r="D4" s="70" t="s">
        <v>37</v>
      </c>
      <c r="E4" s="70" t="s">
        <v>38</v>
      </c>
      <c r="F4" s="70" t="s">
        <v>39</v>
      </c>
      <c r="G4" s="70" t="s">
        <v>40</v>
      </c>
      <c r="H4" s="70" t="s">
        <v>41</v>
      </c>
      <c r="I4" s="70" t="s">
        <v>42</v>
      </c>
      <c r="J4" s="70" t="s">
        <v>43</v>
      </c>
      <c r="K4" s="70" t="s">
        <v>46</v>
      </c>
      <c r="L4" s="70" t="s">
        <v>47</v>
      </c>
      <c r="M4" s="70" t="s">
        <v>48</v>
      </c>
      <c r="N4" s="70" t="s">
        <v>49</v>
      </c>
      <c r="O4" s="70" t="s">
        <v>50</v>
      </c>
      <c r="P4" s="19"/>
    </row>
    <row r="5" spans="1:16" ht="24.95" customHeight="1" thickBot="1" x14ac:dyDescent="0.3">
      <c r="A5" s="17"/>
      <c r="B5" s="32" t="s">
        <v>10</v>
      </c>
      <c r="C5" s="98" t="s">
        <v>36</v>
      </c>
      <c r="D5" s="98" t="s">
        <v>37</v>
      </c>
      <c r="E5" s="98" t="s">
        <v>38</v>
      </c>
      <c r="F5" s="98" t="s">
        <v>39</v>
      </c>
      <c r="G5" s="98" t="s">
        <v>40</v>
      </c>
      <c r="H5" s="98" t="s">
        <v>41</v>
      </c>
      <c r="I5" s="98" t="s">
        <v>42</v>
      </c>
      <c r="J5" s="98" t="s">
        <v>43</v>
      </c>
      <c r="K5" s="98" t="s">
        <v>46</v>
      </c>
      <c r="L5" s="98" t="s">
        <v>47</v>
      </c>
      <c r="M5" s="98" t="s">
        <v>48</v>
      </c>
      <c r="N5" s="98" t="s">
        <v>49</v>
      </c>
      <c r="O5" s="99" t="s">
        <v>50</v>
      </c>
      <c r="P5" s="22"/>
    </row>
    <row r="6" spans="1:16" ht="24.95" customHeight="1" thickBot="1" x14ac:dyDescent="0.3">
      <c r="A6" s="17"/>
      <c r="B6" s="23" t="s">
        <v>11</v>
      </c>
      <c r="C6" s="102">
        <f>INDEX(EmployeePlan[],MATCH(INDEX(EmployeeVariances[],ROW()-ROW(EmployeeVariances[[#Headers],[ינו]]),1),INDEX(EmployeePlan[],,1),0),MATCH(EmployeeVariances[[#Headers],[ינו]],EmployeePlan[#Headers],0))-INDEX(EmployeeActual[],MATCH(INDEX(EmployeeVariances[],ROW()-ROW(EmployeeVariances[[#Headers],[ינו]]),1),INDEX(EmployeePlan[],,1),0),MATCH(EmployeeVariances[[#Headers],[ינו]],EmployeeActual[#Headers],0))</f>
        <v>0</v>
      </c>
      <c r="D6" s="103">
        <f>INDEX(EmployeePlan[],MATCH(INDEX(EmployeeVariances[],ROW()-ROW(EmployeeVariances[[#Headers],[פבר]]),1),INDEX(EmployeePlan[],,1),0),MATCH(EmployeeVariances[[#Headers],[פבר]],EmployeePlan[#Headers],0))-INDEX(EmployeeActual[],MATCH(INDEX(EmployeeVariances[],ROW()-ROW(EmployeeVariances[[#Headers],[פבר]]),1),INDEX(EmployeePlan[],,1),0),MATCH(EmployeeVariances[[#Headers],[פבר]],EmployeeActual[#Headers],0))</f>
        <v>0</v>
      </c>
      <c r="E6" s="103">
        <f>INDEX(EmployeePlan[],MATCH(INDEX(EmployeeVariances[],ROW()-ROW(EmployeeVariances[[#Headers],[מרץ]]),1),INDEX(EmployeePlan[],,1),0),MATCH(EmployeeVariances[[#Headers],[מרץ]],EmployeePlan[#Headers],0))-INDEX(EmployeeActual[],MATCH(INDEX(EmployeeVariances[],ROW()-ROW(EmployeeVariances[[#Headers],[מרץ]]),1),INDEX(EmployeePlan[],,1),0),MATCH(EmployeeVariances[[#Headers],[מרץ]],EmployeeActual[#Headers],0))</f>
        <v>0</v>
      </c>
      <c r="F6" s="103">
        <f>INDEX(EmployeePlan[],MATCH(INDEX(EmployeeVariances[],ROW()-ROW(EmployeeVariances[[#Headers],[אפר]]),1),INDEX(EmployeePlan[],,1),0),MATCH(EmployeeVariances[[#Headers],[אפר]],EmployeePlan[#Headers],0))-INDEX(EmployeeActual[],MATCH(INDEX(EmployeeVariances[],ROW()-ROW(EmployeeVariances[[#Headers],[אפר]]),1),INDEX(EmployeePlan[],,1),0),MATCH(EmployeeVariances[[#Headers],[אפר]],EmployeeActual[#Headers],0))</f>
        <v>-500</v>
      </c>
      <c r="G6" s="103">
        <f>INDEX(EmployeePlan[],MATCH(INDEX(EmployeeVariances[],ROW()-ROW(EmployeeVariances[[#Headers],[מאי]]),1),INDEX(EmployeePlan[],,1),0),MATCH(EmployeeVariances[[#Headers],[מאי]],EmployeePlan[#Headers],0))-INDEX(EmployeeActual[],MATCH(INDEX(EmployeeVariances[],ROW()-ROW(EmployeeVariances[[#Headers],[מאי]]),1),INDEX(EmployeePlan[],,1),0),MATCH(EmployeeVariances[[#Headers],[מאי]],EmployeeActual[#Headers],0))</f>
        <v>-500</v>
      </c>
      <c r="H6" s="103">
        <f>INDEX(EmployeePlan[],MATCH(INDEX(EmployeeVariances[],ROW()-ROW(EmployeeVariances[[#Headers],[יונ]]),1),INDEX(EmployeePlan[],,1),0),MATCH(EmployeeVariances[[#Headers],[יונ]],EmployeePlan[#Headers],0))-INDEX(EmployeeActual[],MATCH(INDEX(EmployeeVariances[],ROW()-ROW(EmployeeVariances[[#Headers],[יונ]]),1),INDEX(EmployeePlan[],,1),0),MATCH(EmployeeVariances[[#Headers],[יונ]],EmployeeActual[#Headers],0))</f>
        <v>-500</v>
      </c>
      <c r="I6" s="103">
        <f>INDEX(EmployeePlan[],MATCH(INDEX(EmployeeVariances[],ROW()-ROW(EmployeeVariances[[#Headers],[יול]]),1),INDEX(EmployeePlan[],,1),0),MATCH(EmployeeVariances[[#Headers],[יול]],EmployeePlan[#Headers],0))-INDEX(EmployeeActual[],MATCH(INDEX(EmployeeVariances[],ROW()-ROW(EmployeeVariances[[#Headers],[יול]]),1),INDEX(EmployeePlan[],,1),0),MATCH(EmployeeVariances[[#Headers],[יול]],EmployeeActual[#Headers],0))</f>
        <v>87500</v>
      </c>
      <c r="J6" s="103">
        <f>INDEX(EmployeePlan[],MATCH(INDEX(EmployeeVariances[],ROW()-ROW(EmployeeVariances[[#Headers],[אוג]]),1),INDEX(EmployeePlan[],,1),0),MATCH(EmployeeVariances[[#Headers],[אוג]],EmployeePlan[#Headers],0))-INDEX(EmployeeActual[],MATCH(INDEX(EmployeeVariances[],ROW()-ROW(EmployeeVariances[[#Headers],[אוג]]),1),INDEX(EmployeePlan[],,1),0),MATCH(EmployeeVariances[[#Headers],[אוג]],EmployeeActual[#Headers],0))</f>
        <v>92400</v>
      </c>
      <c r="K6" s="103">
        <f>INDEX(EmployeePlan[],MATCH(INDEX(EmployeeVariances[],ROW()-ROW(EmployeeVariances[[#Headers],[ספט]]),1),INDEX(EmployeePlan[],,1),0),MATCH(EmployeeVariances[[#Headers],[ספט]],EmployeePlan[#Headers],0))-INDEX(EmployeeActual[],MATCH(INDEX(EmployeeVariances[],ROW()-ROW(EmployeeVariances[[#Headers],[ספט]]),1),INDEX(EmployeePlan[],,1),0),MATCH(EmployeeVariances[[#Headers],[ספט]],EmployeeActual[#Headers],0))</f>
        <v>92400</v>
      </c>
      <c r="L6" s="103">
        <f>INDEX(EmployeePlan[],MATCH(INDEX(EmployeeVariances[],ROW()-ROW(EmployeeVariances[[#Headers],[אוק]]),1),INDEX(EmployeePlan[],,1),0),MATCH(EmployeeVariances[[#Headers],[אוק]],EmployeePlan[#Headers],0))-INDEX(EmployeeActual[],MATCH(INDEX(EmployeeVariances[],ROW()-ROW(EmployeeVariances[[#Headers],[אוק]]),1),INDEX(EmployeePlan[],,1),0),MATCH(EmployeeVariances[[#Headers],[אוק]],EmployeeActual[#Headers],0))</f>
        <v>92400</v>
      </c>
      <c r="M6" s="103">
        <f>INDEX(EmployeePlan[],MATCH(INDEX(EmployeeVariances[],ROW()-ROW(EmployeeVariances[[#Headers],[נוב]]),1),INDEX(EmployeePlan[],,1),0),MATCH(EmployeeVariances[[#Headers],[נוב]],EmployeePlan[#Headers],0))-INDEX(EmployeeActual[],MATCH(INDEX(EmployeeVariances[],ROW()-ROW(EmployeeVariances[[#Headers],[נוב]]),1),INDEX(EmployeePlan[],,1),0),MATCH(EmployeeVariances[[#Headers],[נוב]],EmployeeActual[#Headers],0))</f>
        <v>92400</v>
      </c>
      <c r="N6" s="103">
        <f>INDEX(EmployeePlan[],MATCH(INDEX(EmployeeVariances[],ROW()-ROW(EmployeeVariances[[#Headers],[דצמ]]),1),INDEX(EmployeePlan[],,1),0),MATCH(EmployeeVariances[[#Headers],[דצמ]],EmployeePlan[#Headers],0))-INDEX(EmployeeActual[],MATCH(INDEX(EmployeeVariances[],ROW()-ROW(EmployeeVariances[[#Headers],[דצמ]]),1),INDEX(EmployeePlan[],,1),0),MATCH(EmployeeVariances[[#Headers],[דצמ]],EmployeeActual[#Headers],0))</f>
        <v>92400</v>
      </c>
      <c r="O6" s="104">
        <f>SUM(EmployeeVariances[[#This Row],[ינו]:[דצמ]])</f>
        <v>548000</v>
      </c>
      <c r="P6" s="22"/>
    </row>
    <row r="7" spans="1:16" ht="24.95" customHeight="1" thickBot="1" x14ac:dyDescent="0.3">
      <c r="A7" s="17"/>
      <c r="B7" s="23" t="s">
        <v>12</v>
      </c>
      <c r="C7" s="102">
        <f>INDEX(EmployeePlan[],MATCH(INDEX(EmployeeVariances[],ROW()-ROW(EmployeeVariances[[#Headers],[ינו]]),1),INDEX(EmployeePlan[],,1),0),MATCH(EmployeeVariances[[#Headers],[ינו]],EmployeePlan[#Headers],0))-INDEX(EmployeeActual[],MATCH(INDEX(EmployeeVariances[],ROW()-ROW(EmployeeVariances[[#Headers],[ינו]]),1),INDEX(EmployeePlan[],,1),0),MATCH(EmployeeVariances[[#Headers],[ינו]],EmployeeActual[#Headers],0))</f>
        <v>0</v>
      </c>
      <c r="D7" s="103">
        <f>INDEX(EmployeePlan[],MATCH(INDEX(EmployeeVariances[],ROW()-ROW(EmployeeVariances[[#Headers],[פבר]]),1),INDEX(EmployeePlan[],,1),0),MATCH(EmployeeVariances[[#Headers],[פבר]],EmployeePlan[#Headers],0))-INDEX(EmployeeActual[],MATCH(INDEX(EmployeeVariances[],ROW()-ROW(EmployeeVariances[[#Headers],[פבר]]),1),INDEX(EmployeePlan[],,1),0),MATCH(EmployeeVariances[[#Headers],[פבר]],EmployeeActual[#Headers],0))</f>
        <v>0</v>
      </c>
      <c r="E7" s="103">
        <f>INDEX(EmployeePlan[],MATCH(INDEX(EmployeeVariances[],ROW()-ROW(EmployeeVariances[[#Headers],[מרץ]]),1),INDEX(EmployeePlan[],,1),0),MATCH(EmployeeVariances[[#Headers],[מרץ]],EmployeePlan[#Headers],0))-INDEX(EmployeeActual[],MATCH(INDEX(EmployeeVariances[],ROW()-ROW(EmployeeVariances[[#Headers],[מרץ]]),1),INDEX(EmployeePlan[],,1),0),MATCH(EmployeeVariances[[#Headers],[מרץ]],EmployeeActual[#Headers],0))</f>
        <v>0</v>
      </c>
      <c r="F7" s="103">
        <f>INDEX(EmployeePlan[],MATCH(INDEX(EmployeeVariances[],ROW()-ROW(EmployeeVariances[[#Headers],[אפר]]),1),INDEX(EmployeePlan[],,1),0),MATCH(EmployeeVariances[[#Headers],[אפר]],EmployeePlan[#Headers],0))-INDEX(EmployeeActual[],MATCH(INDEX(EmployeeVariances[],ROW()-ROW(EmployeeVariances[[#Headers],[אפר]]),1),INDEX(EmployeePlan[],,1),0),MATCH(EmployeeVariances[[#Headers],[אפר]],EmployeeActual[#Headers],0))</f>
        <v>-135</v>
      </c>
      <c r="G7" s="103">
        <f>INDEX(EmployeePlan[],MATCH(INDEX(EmployeeVariances[],ROW()-ROW(EmployeeVariances[[#Headers],[מאי]]),1),INDEX(EmployeePlan[],,1),0),MATCH(EmployeeVariances[[#Headers],[מאי]],EmployeePlan[#Headers],0))-INDEX(EmployeeActual[],MATCH(INDEX(EmployeeVariances[],ROW()-ROW(EmployeeVariances[[#Headers],[מאי]]),1),INDEX(EmployeePlan[],,1),0),MATCH(EmployeeVariances[[#Headers],[מאי]],EmployeeActual[#Headers],0))</f>
        <v>-135</v>
      </c>
      <c r="H7" s="103">
        <f>INDEX(EmployeePlan[],MATCH(INDEX(EmployeeVariances[],ROW()-ROW(EmployeeVariances[[#Headers],[יונ]]),1),INDEX(EmployeePlan[],,1),0),MATCH(EmployeeVariances[[#Headers],[יונ]],EmployeePlan[#Headers],0))-INDEX(EmployeeActual[],MATCH(INDEX(EmployeeVariances[],ROW()-ROW(EmployeeVariances[[#Headers],[יונ]]),1),INDEX(EmployeePlan[],,1),0),MATCH(EmployeeVariances[[#Headers],[יונ]],EmployeeActual[#Headers],0))</f>
        <v>-135</v>
      </c>
      <c r="I7" s="103">
        <f>INDEX(EmployeePlan[],MATCH(INDEX(EmployeeVariances[],ROW()-ROW(EmployeeVariances[[#Headers],[יול]]),1),INDEX(EmployeePlan[],,1),0),MATCH(EmployeeVariances[[#Headers],[יול]],EmployeePlan[#Headers],0))-INDEX(EmployeeActual[],MATCH(INDEX(EmployeeVariances[],ROW()-ROW(EmployeeVariances[[#Headers],[יול]]),1),INDEX(EmployeePlan[],,1),0),MATCH(EmployeeVariances[[#Headers],[יול]],EmployeeActual[#Headers],0))</f>
        <v>23625</v>
      </c>
      <c r="J7" s="103">
        <f>INDEX(EmployeePlan[],MATCH(INDEX(EmployeeVariances[],ROW()-ROW(EmployeeVariances[[#Headers],[אוג]]),1),INDEX(EmployeePlan[],,1),0),MATCH(EmployeeVariances[[#Headers],[אוג]],EmployeePlan[#Headers],0))-INDEX(EmployeeActual[],MATCH(INDEX(EmployeeVariances[],ROW()-ROW(EmployeeVariances[[#Headers],[אוג]]),1),INDEX(EmployeePlan[],,1),0),MATCH(EmployeeVariances[[#Headers],[אוג]],EmployeeActual[#Headers],0))</f>
        <v>24948</v>
      </c>
      <c r="K7" s="103">
        <f>INDEX(EmployeePlan[],MATCH(INDEX(EmployeeVariances[],ROW()-ROW(EmployeeVariances[[#Headers],[ספט]]),1),INDEX(EmployeePlan[],,1),0),MATCH(EmployeeVariances[[#Headers],[ספט]],EmployeePlan[#Headers],0))-INDEX(EmployeeActual[],MATCH(INDEX(EmployeeVariances[],ROW()-ROW(EmployeeVariances[[#Headers],[ספט]]),1),INDEX(EmployeePlan[],,1),0),MATCH(EmployeeVariances[[#Headers],[ספט]],EmployeeActual[#Headers],0))</f>
        <v>24948</v>
      </c>
      <c r="L7" s="103">
        <f>INDEX(EmployeePlan[],MATCH(INDEX(EmployeeVariances[],ROW()-ROW(EmployeeVariances[[#Headers],[אוק]]),1),INDEX(EmployeePlan[],,1),0),MATCH(EmployeeVariances[[#Headers],[אוק]],EmployeePlan[#Headers],0))-INDEX(EmployeeActual[],MATCH(INDEX(EmployeeVariances[],ROW()-ROW(EmployeeVariances[[#Headers],[אוק]]),1),INDEX(EmployeePlan[],,1),0),MATCH(EmployeeVariances[[#Headers],[אוק]],EmployeeActual[#Headers],0))</f>
        <v>24948</v>
      </c>
      <c r="M7" s="103">
        <f>INDEX(EmployeePlan[],MATCH(INDEX(EmployeeVariances[],ROW()-ROW(EmployeeVariances[[#Headers],[נוב]]),1),INDEX(EmployeePlan[],,1),0),MATCH(EmployeeVariances[[#Headers],[נוב]],EmployeePlan[#Headers],0))-INDEX(EmployeeActual[],MATCH(INDEX(EmployeeVariances[],ROW()-ROW(EmployeeVariances[[#Headers],[נוב]]),1),INDEX(EmployeePlan[],,1),0),MATCH(EmployeeVariances[[#Headers],[נוב]],EmployeeActual[#Headers],0))</f>
        <v>24948</v>
      </c>
      <c r="N7" s="103">
        <f>INDEX(EmployeePlan[],MATCH(INDEX(EmployeeVariances[],ROW()-ROW(EmployeeVariances[[#Headers],[דצמ]]),1),INDEX(EmployeePlan[],,1),0),MATCH(EmployeeVariances[[#Headers],[דצמ]],EmployeePlan[#Headers],0))-INDEX(EmployeeActual[],MATCH(INDEX(EmployeeVariances[],ROW()-ROW(EmployeeVariances[[#Headers],[דצמ]]),1),INDEX(EmployeePlan[],,1),0),MATCH(EmployeeVariances[[#Headers],[דצמ]],EmployeeActual[#Headers],0))</f>
        <v>24948</v>
      </c>
      <c r="O7" s="104">
        <f>SUM(EmployeeVariances[[#This Row],[ינו]:[דצמ]])</f>
        <v>147960</v>
      </c>
      <c r="P7" s="22"/>
    </row>
    <row r="8" spans="1:16" ht="24.95" customHeight="1" x14ac:dyDescent="0.25">
      <c r="A8" s="17"/>
      <c r="B8" s="49" t="s">
        <v>13</v>
      </c>
      <c r="C8" s="105">
        <f>SUBTOTAL(109,EmployeeVariances[ינו])</f>
        <v>0</v>
      </c>
      <c r="D8" s="105">
        <f>SUBTOTAL(109,EmployeeVariances[פבר])</f>
        <v>0</v>
      </c>
      <c r="E8" s="105">
        <f>SUBTOTAL(109,EmployeeVariances[מרץ])</f>
        <v>0</v>
      </c>
      <c r="F8" s="105">
        <f>SUBTOTAL(109,EmployeeVariances[אפר])</f>
        <v>-635</v>
      </c>
      <c r="G8" s="105">
        <f>SUBTOTAL(109,EmployeeVariances[מאי])</f>
        <v>-635</v>
      </c>
      <c r="H8" s="105">
        <f>SUBTOTAL(109,EmployeeVariances[יונ])</f>
        <v>-635</v>
      </c>
      <c r="I8" s="105">
        <f>SUBTOTAL(109,EmployeeVariances[יול])</f>
        <v>111125</v>
      </c>
      <c r="J8" s="105">
        <f>SUBTOTAL(109,EmployeeVariances[אוג])</f>
        <v>117348</v>
      </c>
      <c r="K8" s="105">
        <f>SUBTOTAL(109,EmployeeVariances[ספט])</f>
        <v>117348</v>
      </c>
      <c r="L8" s="105">
        <f>SUBTOTAL(109,EmployeeVariances[אוק])</f>
        <v>117348</v>
      </c>
      <c r="M8" s="105">
        <f>SUBTOTAL(109,EmployeeVariances[נוב])</f>
        <v>117348</v>
      </c>
      <c r="N8" s="105">
        <f>SUBTOTAL(109,EmployeeVariances[דצמ])</f>
        <v>117348</v>
      </c>
      <c r="O8" s="106">
        <f>SUBTOTAL(109,EmployeeVariances[שנה])</f>
        <v>695960</v>
      </c>
      <c r="P8" s="22"/>
    </row>
    <row r="9" spans="1:16" ht="21" customHeight="1" x14ac:dyDescent="0.25">
      <c r="A9" s="17"/>
      <c r="B9" s="25"/>
      <c r="C9" s="25"/>
      <c r="D9" s="74"/>
      <c r="E9" s="74"/>
      <c r="F9" s="74"/>
      <c r="G9" s="74"/>
      <c r="H9" s="74"/>
      <c r="I9" s="74"/>
      <c r="J9" s="74"/>
      <c r="K9" s="74"/>
      <c r="L9" s="74"/>
      <c r="M9" s="74"/>
      <c r="N9" s="74"/>
      <c r="O9" s="75"/>
      <c r="P9" s="22"/>
    </row>
    <row r="10" spans="1:16" ht="24.95" customHeight="1" thickBot="1" x14ac:dyDescent="0.3">
      <c r="A10" s="17"/>
      <c r="B10" s="50" t="s">
        <v>14</v>
      </c>
      <c r="C10" s="80" t="s">
        <v>36</v>
      </c>
      <c r="D10" s="80" t="s">
        <v>37</v>
      </c>
      <c r="E10" s="80" t="s">
        <v>38</v>
      </c>
      <c r="F10" s="80" t="s">
        <v>39</v>
      </c>
      <c r="G10" s="80" t="s">
        <v>40</v>
      </c>
      <c r="H10" s="80" t="s">
        <v>41</v>
      </c>
      <c r="I10" s="80" t="s">
        <v>42</v>
      </c>
      <c r="J10" s="80" t="s">
        <v>43</v>
      </c>
      <c r="K10" s="80" t="s">
        <v>46</v>
      </c>
      <c r="L10" s="80" t="s">
        <v>47</v>
      </c>
      <c r="M10" s="80" t="s">
        <v>48</v>
      </c>
      <c r="N10" s="80" t="s">
        <v>49</v>
      </c>
      <c r="O10" s="81" t="s">
        <v>50</v>
      </c>
      <c r="P10" s="22"/>
    </row>
    <row r="11" spans="1:16" ht="24.95" customHeight="1" thickBot="1" x14ac:dyDescent="0.3">
      <c r="A11" s="17"/>
      <c r="B11" s="42" t="s">
        <v>15</v>
      </c>
      <c r="C11" s="103">
        <f>INDEX(OfficePlan[],MATCH(INDEX(OfficeVariances[],ROW()-ROW(OfficeVariances[[#Headers],[ינו]]),1),INDEX(OfficePlan[],,1),0),MATCH(OfficeVariances[[#Headers],[ינו]],OfficePlan[#Headers],0))-INDEX(OfficeActual[],MATCH(INDEX(OfficeVariances[],ROW()-ROW(OfficeVariances[[#Headers],[ינו]]),1),INDEX(OfficePlan[],,1),0),MATCH(OfficeVariances[[#Headers],[ינו]],OfficeActual[#Headers],0))</f>
        <v>0</v>
      </c>
      <c r="D11" s="103">
        <f>INDEX(OfficePlan[],MATCH(INDEX(OfficeVariances[],ROW()-ROW(OfficeVariances[[#Headers],[פבר]]),1),INDEX(OfficePlan[],,1),0),MATCH(OfficeVariances[[#Headers],[פבר]],OfficePlan[#Headers],0))-INDEX(OfficeActual[],MATCH(INDEX(OfficeVariances[],ROW()-ROW(OfficeVariances[[#Headers],[פבר]]),1),INDEX(OfficePlan[],,1),0),MATCH(OfficeVariances[[#Headers],[פבר]],OfficeActual[#Headers],0))</f>
        <v>0</v>
      </c>
      <c r="E11" s="103">
        <f>INDEX(OfficePlan[],MATCH(INDEX(OfficeVariances[],ROW()-ROW(OfficeVariances[[#Headers],[מרץ]]),1),INDEX(OfficePlan[],,1),0),MATCH(OfficeVariances[[#Headers],[מרץ]],OfficePlan[#Headers],0))-INDEX(OfficeActual[],MATCH(INDEX(OfficeVariances[],ROW()-ROW(OfficeVariances[[#Headers],[מרץ]]),1),INDEX(OfficePlan[],,1),0),MATCH(OfficeVariances[[#Headers],[מרץ]],OfficeActual[#Headers],0))</f>
        <v>0</v>
      </c>
      <c r="F11" s="103">
        <f>INDEX(OfficePlan[],MATCH(INDEX(OfficeVariances[],ROW()-ROW(OfficeVariances[[#Headers],[אפר]]),1),INDEX(OfficePlan[],,1),0),MATCH(OfficeVariances[[#Headers],[אפר]],OfficePlan[#Headers],0))-INDEX(OfficeActual[],MATCH(INDEX(OfficeVariances[],ROW()-ROW(OfficeVariances[[#Headers],[אפר]]),1),INDEX(OfficePlan[],,1),0),MATCH(OfficeVariances[[#Headers],[אפר]],OfficeActual[#Headers],0))</f>
        <v>0</v>
      </c>
      <c r="G11" s="103">
        <f>INDEX(OfficePlan[],MATCH(INDEX(OfficeVariances[],ROW()-ROW(OfficeVariances[[#Headers],[מאי]]),1),INDEX(OfficePlan[],,1),0),MATCH(OfficeVariances[[#Headers],[מאי]],OfficePlan[#Headers],0))-INDEX(OfficeActual[],MATCH(INDEX(OfficeVariances[],ROW()-ROW(OfficeVariances[[#Headers],[מאי]]),1),INDEX(OfficePlan[],,1),0),MATCH(OfficeVariances[[#Headers],[מאי]],OfficeActual[#Headers],0))</f>
        <v>0</v>
      </c>
      <c r="H11" s="103">
        <f>INDEX(OfficePlan[],MATCH(INDEX(OfficeVariances[],ROW()-ROW(OfficeVariances[[#Headers],[יונ]]),1),INDEX(OfficePlan[],,1),0),MATCH(OfficeVariances[[#Headers],[יונ]],OfficePlan[#Headers],0))-INDEX(OfficeActual[],MATCH(INDEX(OfficeVariances[],ROW()-ROW(OfficeVariances[[#Headers],[יונ]]),1),INDEX(OfficePlan[],,1),0),MATCH(OfficeVariances[[#Headers],[יונ]],OfficeActual[#Headers],0))</f>
        <v>0</v>
      </c>
      <c r="I11" s="103">
        <f>INDEX(OfficePlan[],MATCH(INDEX(OfficeVariances[],ROW()-ROW(OfficeVariances[[#Headers],[יול]]),1),INDEX(OfficePlan[],,1),0),MATCH(OfficeVariances[[#Headers],[יול]],OfficePlan[#Headers],0))-INDEX(OfficeActual[],MATCH(INDEX(OfficeVariances[],ROW()-ROW(OfficeVariances[[#Headers],[יול]]),1),INDEX(OfficePlan[],,1),0),MATCH(OfficeVariances[[#Headers],[יול]],OfficeActual[#Headers],0))</f>
        <v>9800</v>
      </c>
      <c r="J11" s="103">
        <f>INDEX(OfficePlan[],MATCH(INDEX(OfficeVariances[],ROW()-ROW(OfficeVariances[[#Headers],[אוג]]),1),INDEX(OfficePlan[],,1),0),MATCH(OfficeVariances[[#Headers],[אוג]],OfficePlan[#Headers],0))-INDEX(OfficeActual[],MATCH(INDEX(OfficeVariances[],ROW()-ROW(OfficeVariances[[#Headers],[אוג]]),1),INDEX(OfficePlan[],,1),0),MATCH(OfficeVariances[[#Headers],[אוג]],OfficeActual[#Headers],0))</f>
        <v>9800</v>
      </c>
      <c r="K11" s="103">
        <f>INDEX(OfficePlan[],MATCH(INDEX(OfficeVariances[],ROW()-ROW(OfficeVariances[[#Headers],[ספט]]),1),INDEX(OfficePlan[],,1),0),MATCH(OfficeVariances[[#Headers],[ספט]],OfficePlan[#Headers],0))-INDEX(OfficeActual[],MATCH(INDEX(OfficeVariances[],ROW()-ROW(OfficeVariances[[#Headers],[ספט]]),1),INDEX(OfficePlan[],,1),0),MATCH(OfficeVariances[[#Headers],[ספט]],OfficeActual[#Headers],0))</f>
        <v>9800</v>
      </c>
      <c r="L11" s="103">
        <f>INDEX(OfficePlan[],MATCH(INDEX(OfficeVariances[],ROW()-ROW(OfficeVariances[[#Headers],[אוק]]),1),INDEX(OfficePlan[],,1),0),MATCH(OfficeVariances[[#Headers],[אוק]],OfficePlan[#Headers],0))-INDEX(OfficeActual[],MATCH(INDEX(OfficeVariances[],ROW()-ROW(OfficeVariances[[#Headers],[אוק]]),1),INDEX(OfficePlan[],,1),0),MATCH(OfficeVariances[[#Headers],[אוק]],OfficeActual[#Headers],0))</f>
        <v>9800</v>
      </c>
      <c r="M11" s="103">
        <f>INDEX(OfficePlan[],MATCH(INDEX(OfficeVariances[],ROW()-ROW(OfficeVariances[[#Headers],[נוב]]),1),INDEX(OfficePlan[],,1),0),MATCH(OfficeVariances[[#Headers],[נוב]],OfficePlan[#Headers],0))-INDEX(OfficeActual[],MATCH(INDEX(OfficeVariances[],ROW()-ROW(OfficeVariances[[#Headers],[נוב]]),1),INDEX(OfficePlan[],,1),0),MATCH(OfficeVariances[[#Headers],[נוב]],OfficeActual[#Headers],0))</f>
        <v>9800</v>
      </c>
      <c r="N11" s="103">
        <f>INDEX(OfficePlan[],MATCH(INDEX(OfficeVariances[],ROW()-ROW(OfficeVariances[[#Headers],[דצמ]]),1),INDEX(OfficePlan[],,1),0),MATCH(OfficeVariances[[#Headers],[דצמ]],OfficePlan[#Headers],0))-INDEX(OfficeActual[],MATCH(INDEX(OfficeVariances[],ROW()-ROW(OfficeVariances[[#Headers],[דצמ]]),1),INDEX(OfficePlan[],,1),0),MATCH(OfficeVariances[[#Headers],[דצמ]],OfficeActual[#Headers],0))</f>
        <v>9800</v>
      </c>
      <c r="O11" s="104">
        <f>SUM(OfficeVariances[[#This Row],[ינו]:[דצמ]])</f>
        <v>58800</v>
      </c>
      <c r="P11" s="22"/>
    </row>
    <row r="12" spans="1:16" ht="24.95" customHeight="1" thickBot="1" x14ac:dyDescent="0.3">
      <c r="A12" s="17"/>
      <c r="B12" s="42" t="s">
        <v>16</v>
      </c>
      <c r="C12" s="103">
        <f>INDEX(OfficePlan[],MATCH(INDEX(OfficeVariances[],ROW()-ROW(OfficeVariances[[#Headers],[ינו]]),1),INDEX(OfficePlan[],,1),0),MATCH(OfficeVariances[[#Headers],[ינו]],OfficePlan[#Headers],0))-INDEX(OfficeActual[],MATCH(INDEX(OfficeVariances[],ROW()-ROW(OfficeVariances[[#Headers],[ינו]]),1),INDEX(OfficePlan[],,1),0),MATCH(OfficeVariances[[#Headers],[ינו]],OfficeActual[#Headers],0))</f>
        <v>-4</v>
      </c>
      <c r="D12" s="103">
        <f>INDEX(OfficePlan[],MATCH(INDEX(OfficeVariances[],ROW()-ROW(OfficeVariances[[#Headers],[פבר]]),1),INDEX(OfficePlan[],,1),0),MATCH(OfficeVariances[[#Headers],[פבר]],OfficePlan[#Headers],0))-INDEX(OfficeActual[],MATCH(INDEX(OfficeVariances[],ROW()-ROW(OfficeVariances[[#Headers],[פבר]]),1),INDEX(OfficePlan[],,1),0),MATCH(OfficeVariances[[#Headers],[פבר]],OfficeActual[#Headers],0))</f>
        <v>-30</v>
      </c>
      <c r="E12" s="103">
        <f>INDEX(OfficePlan[],MATCH(INDEX(OfficeVariances[],ROW()-ROW(OfficeVariances[[#Headers],[מרץ]]),1),INDEX(OfficePlan[],,1),0),MATCH(OfficeVariances[[#Headers],[מרץ]],OfficePlan[#Headers],0))-INDEX(OfficeActual[],MATCH(INDEX(OfficeVariances[],ROW()-ROW(OfficeVariances[[#Headers],[מרץ]]),1),INDEX(OfficePlan[],,1),0),MATCH(OfficeVariances[[#Headers],[מרץ]],OfficeActual[#Headers],0))</f>
        <v>15</v>
      </c>
      <c r="F12" s="103">
        <f>INDEX(OfficePlan[],MATCH(INDEX(OfficeVariances[],ROW()-ROW(OfficeVariances[[#Headers],[אפר]]),1),INDEX(OfficePlan[],,1),0),MATCH(OfficeVariances[[#Headers],[אפר]],OfficePlan[#Headers],0))-INDEX(OfficeActual[],MATCH(INDEX(OfficeVariances[],ROW()-ROW(OfficeVariances[[#Headers],[אפר]]),1),INDEX(OfficePlan[],,1),0),MATCH(OfficeVariances[[#Headers],[אפר]],OfficeActual[#Headers],0))</f>
        <v>-130</v>
      </c>
      <c r="G12" s="103">
        <f>INDEX(OfficePlan[],MATCH(INDEX(OfficeVariances[],ROW()-ROW(OfficeVariances[[#Headers],[מאי]]),1),INDEX(OfficePlan[],,1),0),MATCH(OfficeVariances[[#Headers],[מאי]],OfficePlan[#Headers],0))-INDEX(OfficeActual[],MATCH(INDEX(OfficeVariances[],ROW()-ROW(OfficeVariances[[#Headers],[מאי]]),1),INDEX(OfficePlan[],,1),0),MATCH(OfficeVariances[[#Headers],[מאי]],OfficeActual[#Headers],0))</f>
        <v>13</v>
      </c>
      <c r="H12" s="103">
        <f>INDEX(OfficePlan[],MATCH(INDEX(OfficeVariances[],ROW()-ROW(OfficeVariances[[#Headers],[יונ]]),1),INDEX(OfficePlan[],,1),0),MATCH(OfficeVariances[[#Headers],[יונ]],OfficePlan[#Headers],0))-INDEX(OfficeActual[],MATCH(INDEX(OfficeVariances[],ROW()-ROW(OfficeVariances[[#Headers],[יונ]]),1),INDEX(OfficePlan[],,1),0),MATCH(OfficeVariances[[#Headers],[יונ]],OfficeActual[#Headers],0))</f>
        <v>12</v>
      </c>
      <c r="I12" s="103">
        <f>INDEX(OfficePlan[],MATCH(INDEX(OfficeVariances[],ROW()-ROW(OfficeVariances[[#Headers],[יול]]),1),INDEX(OfficePlan[],,1),0),MATCH(OfficeVariances[[#Headers],[יול]],OfficePlan[#Headers],0))-INDEX(OfficeActual[],MATCH(INDEX(OfficeVariances[],ROW()-ROW(OfficeVariances[[#Headers],[יול]]),1),INDEX(OfficePlan[],,1),0),MATCH(OfficeVariances[[#Headers],[יול]],OfficeActual[#Headers],0))</f>
        <v>100</v>
      </c>
      <c r="J12" s="103">
        <f>INDEX(OfficePlan[],MATCH(INDEX(OfficeVariances[],ROW()-ROW(OfficeVariances[[#Headers],[אוג]]),1),INDEX(OfficePlan[],,1),0),MATCH(OfficeVariances[[#Headers],[אוג]],OfficePlan[#Headers],0))-INDEX(OfficeActual[],MATCH(INDEX(OfficeVariances[],ROW()-ROW(OfficeVariances[[#Headers],[אוג]]),1),INDEX(OfficePlan[],,1),0),MATCH(OfficeVariances[[#Headers],[אוג]],OfficeActual[#Headers],0))</f>
        <v>100</v>
      </c>
      <c r="K12" s="103">
        <f>INDEX(OfficePlan[],MATCH(INDEX(OfficeVariances[],ROW()-ROW(OfficeVariances[[#Headers],[ספט]]),1),INDEX(OfficePlan[],,1),0),MATCH(OfficeVariances[[#Headers],[ספט]],OfficePlan[#Headers],0))-INDEX(OfficeActual[],MATCH(INDEX(OfficeVariances[],ROW()-ROW(OfficeVariances[[#Headers],[ספט]]),1),INDEX(OfficePlan[],,1),0),MATCH(OfficeVariances[[#Headers],[ספט]],OfficeActual[#Headers],0))</f>
        <v>100</v>
      </c>
      <c r="L12" s="103">
        <f>INDEX(OfficePlan[],MATCH(INDEX(OfficeVariances[],ROW()-ROW(OfficeVariances[[#Headers],[אוק]]),1),INDEX(OfficePlan[],,1),0),MATCH(OfficeVariances[[#Headers],[אוק]],OfficePlan[#Headers],0))-INDEX(OfficeActual[],MATCH(INDEX(OfficeVariances[],ROW()-ROW(OfficeVariances[[#Headers],[אוק]]),1),INDEX(OfficePlan[],,1),0),MATCH(OfficeVariances[[#Headers],[אוק]],OfficeActual[#Headers],0))</f>
        <v>100</v>
      </c>
      <c r="M12" s="103">
        <f>INDEX(OfficePlan[],MATCH(INDEX(OfficeVariances[],ROW()-ROW(OfficeVariances[[#Headers],[נוב]]),1),INDEX(OfficePlan[],,1),0),MATCH(OfficeVariances[[#Headers],[נוב]],OfficePlan[#Headers],0))-INDEX(OfficeActual[],MATCH(INDEX(OfficeVariances[],ROW()-ROW(OfficeVariances[[#Headers],[נוב]]),1),INDEX(OfficePlan[],,1),0),MATCH(OfficeVariances[[#Headers],[נוב]],OfficeActual[#Headers],0))</f>
        <v>400</v>
      </c>
      <c r="N12" s="103">
        <f>INDEX(OfficePlan[],MATCH(INDEX(OfficeVariances[],ROW()-ROW(OfficeVariances[[#Headers],[דצמ]]),1),INDEX(OfficePlan[],,1),0),MATCH(OfficeVariances[[#Headers],[דצמ]],OfficePlan[#Headers],0))-INDEX(OfficeActual[],MATCH(INDEX(OfficeVariances[],ROW()-ROW(OfficeVariances[[#Headers],[דצמ]]),1),INDEX(OfficePlan[],,1),0),MATCH(OfficeVariances[[#Headers],[דצמ]],OfficeActual[#Headers],0))</f>
        <v>400</v>
      </c>
      <c r="O12" s="104">
        <f>SUM(OfficeVariances[[#This Row],[ינו]:[דצמ]])</f>
        <v>1076</v>
      </c>
      <c r="P12" s="22"/>
    </row>
    <row r="13" spans="1:16" ht="24.95" customHeight="1" thickBot="1" x14ac:dyDescent="0.3">
      <c r="A13" s="17"/>
      <c r="B13" s="42" t="s">
        <v>17</v>
      </c>
      <c r="C13" s="103">
        <f>INDEX(OfficePlan[],MATCH(INDEX(OfficeVariances[],ROW()-ROW(OfficeVariances[[#Headers],[ינו]]),1),INDEX(OfficePlan[],,1),0),MATCH(OfficeVariances[[#Headers],[ינו]],OfficePlan[#Headers],0))-INDEX(OfficeActual[],MATCH(INDEX(OfficeVariances[],ROW()-ROW(OfficeVariances[[#Headers],[ינו]]),1),INDEX(OfficePlan[],,1),0),MATCH(OfficeVariances[[#Headers],[ינו]],OfficeActual[#Headers],0))</f>
        <v>12</v>
      </c>
      <c r="D13" s="103">
        <f>INDEX(OfficePlan[],MATCH(INDEX(OfficeVariances[],ROW()-ROW(OfficeVariances[[#Headers],[פבר]]),1),INDEX(OfficePlan[],,1),0),MATCH(OfficeVariances[[#Headers],[פבר]],OfficePlan[#Headers],0))-INDEX(OfficeActual[],MATCH(INDEX(OfficeVariances[],ROW()-ROW(OfficeVariances[[#Headers],[פבר]]),1),INDEX(OfficePlan[],,1),0),MATCH(OfficeVariances[[#Headers],[פבר]],OfficeActual[#Headers],0))</f>
        <v>22</v>
      </c>
      <c r="E13" s="103">
        <f>INDEX(OfficePlan[],MATCH(INDEX(OfficeVariances[],ROW()-ROW(OfficeVariances[[#Headers],[מרץ]]),1),INDEX(OfficePlan[],,1),0),MATCH(OfficeVariances[[#Headers],[מרץ]],OfficePlan[#Headers],0))-INDEX(OfficeActual[],MATCH(INDEX(OfficeVariances[],ROW()-ROW(OfficeVariances[[#Headers],[מרץ]]),1),INDEX(OfficePlan[],,1),0),MATCH(OfficeVariances[[#Headers],[מרץ]],OfficeActual[#Headers],0))</f>
        <v>32</v>
      </c>
      <c r="F13" s="103">
        <f>INDEX(OfficePlan[],MATCH(INDEX(OfficeVariances[],ROW()-ROW(OfficeVariances[[#Headers],[אפר]]),1),INDEX(OfficePlan[],,1),0),MATCH(OfficeVariances[[#Headers],[אפר]],OfficePlan[#Headers],0))-INDEX(OfficeActual[],MATCH(INDEX(OfficeVariances[],ROW()-ROW(OfficeVariances[[#Headers],[אפר]]),1),INDEX(OfficePlan[],,1),0),MATCH(OfficeVariances[[#Headers],[אפר]],OfficeActual[#Headers],0))</f>
        <v>1</v>
      </c>
      <c r="G13" s="103">
        <f>INDEX(OfficePlan[],MATCH(INDEX(OfficeVariances[],ROW()-ROW(OfficeVariances[[#Headers],[מאי]]),1),INDEX(OfficePlan[],,1),0),MATCH(OfficeVariances[[#Headers],[מאי]],OfficePlan[#Headers],0))-INDEX(OfficeActual[],MATCH(INDEX(OfficeVariances[],ROW()-ROW(OfficeVariances[[#Headers],[מאי]]),1),INDEX(OfficePlan[],,1),0),MATCH(OfficeVariances[[#Headers],[מאי]],OfficeActual[#Headers],0))</f>
        <v>-6</v>
      </c>
      <c r="H13" s="103">
        <f>INDEX(OfficePlan[],MATCH(INDEX(OfficeVariances[],ROW()-ROW(OfficeVariances[[#Headers],[יונ]]),1),INDEX(OfficePlan[],,1),0),MATCH(OfficeVariances[[#Headers],[יונ]],OfficePlan[#Headers],0))-INDEX(OfficeActual[],MATCH(INDEX(OfficeVariances[],ROW()-ROW(OfficeVariances[[#Headers],[יונ]]),1),INDEX(OfficePlan[],,1),0),MATCH(OfficeVariances[[#Headers],[יונ]],OfficeActual[#Headers],0))</f>
        <v>10</v>
      </c>
      <c r="I13" s="103">
        <f>INDEX(OfficePlan[],MATCH(INDEX(OfficeVariances[],ROW()-ROW(OfficeVariances[[#Headers],[יול]]),1),INDEX(OfficePlan[],,1),0),MATCH(OfficeVariances[[#Headers],[יול]],OfficePlan[#Headers],0))-INDEX(OfficeActual[],MATCH(INDEX(OfficeVariances[],ROW()-ROW(OfficeVariances[[#Headers],[יול]]),1),INDEX(OfficePlan[],,1),0),MATCH(OfficeVariances[[#Headers],[יול]],OfficeActual[#Headers],0))</f>
        <v>300</v>
      </c>
      <c r="J13" s="103">
        <f>INDEX(OfficePlan[],MATCH(INDEX(OfficeVariances[],ROW()-ROW(OfficeVariances[[#Headers],[אוג]]),1),INDEX(OfficePlan[],,1),0),MATCH(OfficeVariances[[#Headers],[אוג]],OfficePlan[#Headers],0))-INDEX(OfficeActual[],MATCH(INDEX(OfficeVariances[],ROW()-ROW(OfficeVariances[[#Headers],[אוג]]),1),INDEX(OfficePlan[],,1),0),MATCH(OfficeVariances[[#Headers],[אוג]],OfficeActual[#Headers],0))</f>
        <v>300</v>
      </c>
      <c r="K13" s="103">
        <f>INDEX(OfficePlan[],MATCH(INDEX(OfficeVariances[],ROW()-ROW(OfficeVariances[[#Headers],[ספט]]),1),INDEX(OfficePlan[],,1),0),MATCH(OfficeVariances[[#Headers],[ספט]],OfficePlan[#Headers],0))-INDEX(OfficeActual[],MATCH(INDEX(OfficeVariances[],ROW()-ROW(OfficeVariances[[#Headers],[ספט]]),1),INDEX(OfficePlan[],,1),0),MATCH(OfficeVariances[[#Headers],[ספט]],OfficeActual[#Headers],0))</f>
        <v>300</v>
      </c>
      <c r="L13" s="103">
        <f>INDEX(OfficePlan[],MATCH(INDEX(OfficeVariances[],ROW()-ROW(OfficeVariances[[#Headers],[אוק]]),1),INDEX(OfficePlan[],,1),0),MATCH(OfficeVariances[[#Headers],[אוק]],OfficePlan[#Headers],0))-INDEX(OfficeActual[],MATCH(INDEX(OfficeVariances[],ROW()-ROW(OfficeVariances[[#Headers],[אוק]]),1),INDEX(OfficePlan[],,1),0),MATCH(OfficeVariances[[#Headers],[אוק]],OfficeActual[#Headers],0))</f>
        <v>300</v>
      </c>
      <c r="M13" s="103">
        <f>INDEX(OfficePlan[],MATCH(INDEX(OfficeVariances[],ROW()-ROW(OfficeVariances[[#Headers],[נוב]]),1),INDEX(OfficePlan[],,1),0),MATCH(OfficeVariances[[#Headers],[נוב]],OfficePlan[#Headers],0))-INDEX(OfficeActual[],MATCH(INDEX(OfficeVariances[],ROW()-ROW(OfficeVariances[[#Headers],[נוב]]),1),INDEX(OfficePlan[],,1),0),MATCH(OfficeVariances[[#Headers],[נוב]],OfficeActual[#Headers],0))</f>
        <v>300</v>
      </c>
      <c r="N13" s="103">
        <f>INDEX(OfficePlan[],MATCH(INDEX(OfficeVariances[],ROW()-ROW(OfficeVariances[[#Headers],[דצמ]]),1),INDEX(OfficePlan[],,1),0),MATCH(OfficeVariances[[#Headers],[דצמ]],OfficePlan[#Headers],0))-INDEX(OfficeActual[],MATCH(INDEX(OfficeVariances[],ROW()-ROW(OfficeVariances[[#Headers],[דצמ]]),1),INDEX(OfficePlan[],,1),0),MATCH(OfficeVariances[[#Headers],[דצמ]],OfficeActual[#Headers],0))</f>
        <v>300</v>
      </c>
      <c r="O13" s="104">
        <f>SUM(OfficeVariances[[#This Row],[ינו]:[דצמ]])</f>
        <v>1871</v>
      </c>
      <c r="P13" s="22"/>
    </row>
    <row r="14" spans="1:16" ht="24.95" customHeight="1" thickBot="1" x14ac:dyDescent="0.3">
      <c r="A14" s="17"/>
      <c r="B14" s="42" t="s">
        <v>18</v>
      </c>
      <c r="C14" s="103">
        <f>INDEX(OfficePlan[],MATCH(INDEX(OfficeVariances[],ROW()-ROW(OfficeVariances[[#Headers],[ינו]]),1),INDEX(OfficePlan[],,1),0),MATCH(OfficeVariances[[#Headers],[ינו]],OfficePlan[#Headers],0))-INDEX(OfficeActual[],MATCH(INDEX(OfficeVariances[],ROW()-ROW(OfficeVariances[[#Headers],[ינו]]),1),INDEX(OfficePlan[],,1),0),MATCH(OfficeVariances[[#Headers],[ינו]],OfficeActual[#Headers],0))</f>
        <v>5</v>
      </c>
      <c r="D14" s="103">
        <f>INDEX(OfficePlan[],MATCH(INDEX(OfficeVariances[],ROW()-ROW(OfficeVariances[[#Headers],[פבר]]),1),INDEX(OfficePlan[],,1),0),MATCH(OfficeVariances[[#Headers],[פבר]],OfficePlan[#Headers],0))-INDEX(OfficeActual[],MATCH(INDEX(OfficeVariances[],ROW()-ROW(OfficeVariances[[#Headers],[פבר]]),1),INDEX(OfficePlan[],,1),0),MATCH(OfficeVariances[[#Headers],[פבר]],OfficeActual[#Headers],0))</f>
        <v>7</v>
      </c>
      <c r="E14" s="103">
        <f>INDEX(OfficePlan[],MATCH(INDEX(OfficeVariances[],ROW()-ROW(OfficeVariances[[#Headers],[מרץ]]),1),INDEX(OfficePlan[],,1),0),MATCH(OfficeVariances[[#Headers],[מרץ]],OfficePlan[#Headers],0))-INDEX(OfficeActual[],MATCH(INDEX(OfficeVariances[],ROW()-ROW(OfficeVariances[[#Headers],[מרץ]]),1),INDEX(OfficePlan[],,1),0),MATCH(OfficeVariances[[#Headers],[מרץ]],OfficeActual[#Headers],0))</f>
        <v>6</v>
      </c>
      <c r="F14" s="103">
        <f>INDEX(OfficePlan[],MATCH(INDEX(OfficeVariances[],ROW()-ROW(OfficeVariances[[#Headers],[אפר]]),1),INDEX(OfficePlan[],,1),0),MATCH(OfficeVariances[[#Headers],[אפר]],OfficePlan[#Headers],0))-INDEX(OfficeActual[],MATCH(INDEX(OfficeVariances[],ROW()-ROW(OfficeVariances[[#Headers],[אפר]]),1),INDEX(OfficePlan[],,1),0),MATCH(OfficeVariances[[#Headers],[אפר]],OfficeActual[#Headers],0))</f>
        <v>4</v>
      </c>
      <c r="G14" s="103">
        <f>INDEX(OfficePlan[],MATCH(INDEX(OfficeVariances[],ROW()-ROW(OfficeVariances[[#Headers],[מאי]]),1),INDEX(OfficePlan[],,1),0),MATCH(OfficeVariances[[#Headers],[מאי]],OfficePlan[#Headers],0))-INDEX(OfficeActual[],MATCH(INDEX(OfficeVariances[],ROW()-ROW(OfficeVariances[[#Headers],[מאי]]),1),INDEX(OfficePlan[],,1),0),MATCH(OfficeVariances[[#Headers],[מאי]],OfficeActual[#Headers],0))</f>
        <v>6</v>
      </c>
      <c r="H14" s="103">
        <f>INDEX(OfficePlan[],MATCH(INDEX(OfficeVariances[],ROW()-ROW(OfficeVariances[[#Headers],[יונ]]),1),INDEX(OfficePlan[],,1),0),MATCH(OfficeVariances[[#Headers],[יונ]],OfficePlan[#Headers],0))-INDEX(OfficeActual[],MATCH(INDEX(OfficeVariances[],ROW()-ROW(OfficeVariances[[#Headers],[יונ]]),1),INDEX(OfficePlan[],,1),0),MATCH(OfficeVariances[[#Headers],[יונ]],OfficeActual[#Headers],0))</f>
        <v>4</v>
      </c>
      <c r="I14" s="103">
        <f>INDEX(OfficePlan[],MATCH(INDEX(OfficeVariances[],ROW()-ROW(OfficeVariances[[#Headers],[יול]]),1),INDEX(OfficePlan[],,1),0),MATCH(OfficeVariances[[#Headers],[יול]],OfficePlan[#Headers],0))-INDEX(OfficeActual[],MATCH(INDEX(OfficeVariances[],ROW()-ROW(OfficeVariances[[#Headers],[יול]]),1),INDEX(OfficePlan[],,1),0),MATCH(OfficeVariances[[#Headers],[יול]],OfficeActual[#Headers],0))</f>
        <v>40</v>
      </c>
      <c r="J14" s="103">
        <f>INDEX(OfficePlan[],MATCH(INDEX(OfficeVariances[],ROW()-ROW(OfficeVariances[[#Headers],[אוג]]),1),INDEX(OfficePlan[],,1),0),MATCH(OfficeVariances[[#Headers],[אוג]],OfficePlan[#Headers],0))-INDEX(OfficeActual[],MATCH(INDEX(OfficeVariances[],ROW()-ROW(OfficeVariances[[#Headers],[אוג]]),1),INDEX(OfficePlan[],,1),0),MATCH(OfficeVariances[[#Headers],[אוג]],OfficeActual[#Headers],0))</f>
        <v>40</v>
      </c>
      <c r="K14" s="103">
        <f>INDEX(OfficePlan[],MATCH(INDEX(OfficeVariances[],ROW()-ROW(OfficeVariances[[#Headers],[ספט]]),1),INDEX(OfficePlan[],,1),0),MATCH(OfficeVariances[[#Headers],[ספט]],OfficePlan[#Headers],0))-INDEX(OfficeActual[],MATCH(INDEX(OfficeVariances[],ROW()-ROW(OfficeVariances[[#Headers],[ספט]]),1),INDEX(OfficePlan[],,1),0),MATCH(OfficeVariances[[#Headers],[ספט]],OfficeActual[#Headers],0))</f>
        <v>40</v>
      </c>
      <c r="L14" s="103">
        <f>INDEX(OfficePlan[],MATCH(INDEX(OfficeVariances[],ROW()-ROW(OfficeVariances[[#Headers],[אוק]]),1),INDEX(OfficePlan[],,1),0),MATCH(OfficeVariances[[#Headers],[אוק]],OfficePlan[#Headers],0))-INDEX(OfficeActual[],MATCH(INDEX(OfficeVariances[],ROW()-ROW(OfficeVariances[[#Headers],[אוק]]),1),INDEX(OfficePlan[],,1),0),MATCH(OfficeVariances[[#Headers],[אוק]],OfficeActual[#Headers],0))</f>
        <v>40</v>
      </c>
      <c r="M14" s="103">
        <f>INDEX(OfficePlan[],MATCH(INDEX(OfficeVariances[],ROW()-ROW(OfficeVariances[[#Headers],[נוב]]),1),INDEX(OfficePlan[],,1),0),MATCH(OfficeVariances[[#Headers],[נוב]],OfficePlan[#Headers],0))-INDEX(OfficeActual[],MATCH(INDEX(OfficeVariances[],ROW()-ROW(OfficeVariances[[#Headers],[נוב]]),1),INDEX(OfficePlan[],,1),0),MATCH(OfficeVariances[[#Headers],[נוב]],OfficeActual[#Headers],0))</f>
        <v>40</v>
      </c>
      <c r="N14" s="103">
        <f>INDEX(OfficePlan[],MATCH(INDEX(OfficeVariances[],ROW()-ROW(OfficeVariances[[#Headers],[דצמ]]),1),INDEX(OfficePlan[],,1),0),MATCH(OfficeVariances[[#Headers],[דצמ]],OfficePlan[#Headers],0))-INDEX(OfficeActual[],MATCH(INDEX(OfficeVariances[],ROW()-ROW(OfficeVariances[[#Headers],[דצמ]]),1),INDEX(OfficePlan[],,1),0),MATCH(OfficeVariances[[#Headers],[דצמ]],OfficeActual[#Headers],0))</f>
        <v>40</v>
      </c>
      <c r="O14" s="104">
        <f>SUM(OfficeVariances[[#This Row],[ינו]:[דצמ]])</f>
        <v>272</v>
      </c>
      <c r="P14" s="22"/>
    </row>
    <row r="15" spans="1:16" ht="24.95" customHeight="1" thickBot="1" x14ac:dyDescent="0.3">
      <c r="A15" s="17"/>
      <c r="B15" s="42" t="s">
        <v>19</v>
      </c>
      <c r="C15" s="103">
        <f>INDEX(OfficePlan[],MATCH(INDEX(OfficeVariances[],ROW()-ROW(OfficeVariances[[#Headers],[ינו]]),1),INDEX(OfficePlan[],,1),0),MATCH(OfficeVariances[[#Headers],[ינו]],OfficePlan[#Headers],0))-INDEX(OfficeActual[],MATCH(INDEX(OfficeVariances[],ROW()-ROW(OfficeVariances[[#Headers],[ינו]]),1),INDEX(OfficePlan[],,1),0),MATCH(OfficeVariances[[#Headers],[ינו]],OfficeActual[#Headers],0))</f>
        <v>26</v>
      </c>
      <c r="D15" s="103">
        <f>INDEX(OfficePlan[],MATCH(INDEX(OfficeVariances[],ROW()-ROW(OfficeVariances[[#Headers],[פבר]]),1),INDEX(OfficePlan[],,1),0),MATCH(OfficeVariances[[#Headers],[פבר]],OfficePlan[#Headers],0))-INDEX(OfficeActual[],MATCH(INDEX(OfficeVariances[],ROW()-ROW(OfficeVariances[[#Headers],[פבר]]),1),INDEX(OfficePlan[],,1),0),MATCH(OfficeVariances[[#Headers],[פבר]],OfficeActual[#Headers],0))</f>
        <v>15</v>
      </c>
      <c r="E15" s="103">
        <f>INDEX(OfficePlan[],MATCH(INDEX(OfficeVariances[],ROW()-ROW(OfficeVariances[[#Headers],[מרץ]]),1),INDEX(OfficePlan[],,1),0),MATCH(OfficeVariances[[#Headers],[מרץ]],OfficePlan[#Headers],0))-INDEX(OfficeActual[],MATCH(INDEX(OfficeVariances[],ROW()-ROW(OfficeVariances[[#Headers],[מרץ]]),1),INDEX(OfficePlan[],,1),0),MATCH(OfficeVariances[[#Headers],[מרץ]],OfficeActual[#Headers],0))</f>
        <v>-15</v>
      </c>
      <c r="F15" s="103">
        <f>INDEX(OfficePlan[],MATCH(INDEX(OfficeVariances[],ROW()-ROW(OfficeVariances[[#Headers],[אפר]]),1),INDEX(OfficePlan[],,1),0),MATCH(OfficeVariances[[#Headers],[אפר]],OfficePlan[#Headers],0))-INDEX(OfficeActual[],MATCH(INDEX(OfficeVariances[],ROW()-ROW(OfficeVariances[[#Headers],[אפר]]),1),INDEX(OfficePlan[],,1),0),MATCH(OfficeVariances[[#Headers],[אפר]],OfficeActual[#Headers],0))</f>
        <v>5</v>
      </c>
      <c r="G15" s="103">
        <f>INDEX(OfficePlan[],MATCH(INDEX(OfficeVariances[],ROW()-ROW(OfficeVariances[[#Headers],[מאי]]),1),INDEX(OfficePlan[],,1),0),MATCH(OfficeVariances[[#Headers],[מאי]],OfficePlan[#Headers],0))-INDEX(OfficeActual[],MATCH(INDEX(OfficeVariances[],ROW()-ROW(OfficeVariances[[#Headers],[מאי]]),1),INDEX(OfficePlan[],,1),0),MATCH(OfficeVariances[[#Headers],[מאי]],OfficeActual[#Headers],0))</f>
        <v>5</v>
      </c>
      <c r="H15" s="103">
        <f>INDEX(OfficePlan[],MATCH(INDEX(OfficeVariances[],ROW()-ROW(OfficeVariances[[#Headers],[יונ]]),1),INDEX(OfficePlan[],,1),0),MATCH(OfficeVariances[[#Headers],[יונ]],OfficePlan[#Headers],0))-INDEX(OfficeActual[],MATCH(INDEX(OfficeVariances[],ROW()-ROW(OfficeVariances[[#Headers],[יונ]]),1),INDEX(OfficePlan[],,1),0),MATCH(OfficeVariances[[#Headers],[יונ]],OfficeActual[#Headers],0))</f>
        <v>30</v>
      </c>
      <c r="I15" s="103">
        <f>INDEX(OfficePlan[],MATCH(INDEX(OfficeVariances[],ROW()-ROW(OfficeVariances[[#Headers],[יול]]),1),INDEX(OfficePlan[],,1),0),MATCH(OfficeVariances[[#Headers],[יול]],OfficePlan[#Headers],0))-INDEX(OfficeActual[],MATCH(INDEX(OfficeVariances[],ROW()-ROW(OfficeVariances[[#Headers],[יול]]),1),INDEX(OfficePlan[],,1),0),MATCH(OfficeVariances[[#Headers],[יול]],OfficeActual[#Headers],0))</f>
        <v>250</v>
      </c>
      <c r="J15" s="103">
        <f>INDEX(OfficePlan[],MATCH(INDEX(OfficeVariances[],ROW()-ROW(OfficeVariances[[#Headers],[אוג]]),1),INDEX(OfficePlan[],,1),0),MATCH(OfficeVariances[[#Headers],[אוג]],OfficePlan[#Headers],0))-INDEX(OfficeActual[],MATCH(INDEX(OfficeVariances[],ROW()-ROW(OfficeVariances[[#Headers],[אוג]]),1),INDEX(OfficePlan[],,1),0),MATCH(OfficeVariances[[#Headers],[אוג]],OfficeActual[#Headers],0))</f>
        <v>250</v>
      </c>
      <c r="K15" s="103">
        <f>INDEX(OfficePlan[],MATCH(INDEX(OfficeVariances[],ROW()-ROW(OfficeVariances[[#Headers],[ספט]]),1),INDEX(OfficePlan[],,1),0),MATCH(OfficeVariances[[#Headers],[ספט]],OfficePlan[#Headers],0))-INDEX(OfficeActual[],MATCH(INDEX(OfficeVariances[],ROW()-ROW(OfficeVariances[[#Headers],[ספט]]),1),INDEX(OfficePlan[],,1),0),MATCH(OfficeVariances[[#Headers],[ספט]],OfficeActual[#Headers],0))</f>
        <v>250</v>
      </c>
      <c r="L15" s="103">
        <f>INDEX(OfficePlan[],MATCH(INDEX(OfficeVariances[],ROW()-ROW(OfficeVariances[[#Headers],[אוק]]),1),INDEX(OfficePlan[],,1),0),MATCH(OfficeVariances[[#Headers],[אוק]],OfficePlan[#Headers],0))-INDEX(OfficeActual[],MATCH(INDEX(OfficeVariances[],ROW()-ROW(OfficeVariances[[#Headers],[אוק]]),1),INDEX(OfficePlan[],,1),0),MATCH(OfficeVariances[[#Headers],[אוק]],OfficeActual[#Headers],0))</f>
        <v>250</v>
      </c>
      <c r="M15" s="103">
        <f>INDEX(OfficePlan[],MATCH(INDEX(OfficeVariances[],ROW()-ROW(OfficeVariances[[#Headers],[נוב]]),1),INDEX(OfficePlan[],,1),0),MATCH(OfficeVariances[[#Headers],[נוב]],OfficePlan[#Headers],0))-INDEX(OfficeActual[],MATCH(INDEX(OfficeVariances[],ROW()-ROW(OfficeVariances[[#Headers],[נוב]]),1),INDEX(OfficePlan[],,1),0),MATCH(OfficeVariances[[#Headers],[נוב]],OfficeActual[#Headers],0))</f>
        <v>250</v>
      </c>
      <c r="N15" s="103">
        <f>INDEX(OfficePlan[],MATCH(INDEX(OfficeVariances[],ROW()-ROW(OfficeVariances[[#Headers],[דצמ]]),1),INDEX(OfficePlan[],,1),0),MATCH(OfficeVariances[[#Headers],[דצמ]],OfficePlan[#Headers],0))-INDEX(OfficeActual[],MATCH(INDEX(OfficeVariances[],ROW()-ROW(OfficeVariances[[#Headers],[דצמ]]),1),INDEX(OfficePlan[],,1),0),MATCH(OfficeVariances[[#Headers],[דצמ]],OfficeActual[#Headers],0))</f>
        <v>250</v>
      </c>
      <c r="O15" s="104">
        <f>SUM(OfficeVariances[[#This Row],[ינו]:[דצמ]])</f>
        <v>1566</v>
      </c>
      <c r="P15" s="22"/>
    </row>
    <row r="16" spans="1:16" ht="24.95" customHeight="1" thickBot="1" x14ac:dyDescent="0.3">
      <c r="A16" s="17"/>
      <c r="B16" s="42" t="s">
        <v>20</v>
      </c>
      <c r="C16" s="103">
        <f>INDEX(OfficePlan[],MATCH(INDEX(OfficeVariances[],ROW()-ROW(OfficeVariances[[#Headers],[ינו]]),1),INDEX(OfficePlan[],,1),0),MATCH(OfficeVariances[[#Headers],[ינו]],OfficePlan[#Headers],0))-INDEX(OfficeActual[],MATCH(INDEX(OfficeVariances[],ROW()-ROW(OfficeVariances[[#Headers],[ינו]]),1),INDEX(OfficePlan[],,1),0),MATCH(OfficeVariances[[#Headers],[ינו]],OfficeActual[#Headers],0))</f>
        <v>0</v>
      </c>
      <c r="D16" s="103">
        <f>INDEX(OfficePlan[],MATCH(INDEX(OfficeVariances[],ROW()-ROW(OfficeVariances[[#Headers],[פבר]]),1),INDEX(OfficePlan[],,1),0),MATCH(OfficeVariances[[#Headers],[פבר]],OfficePlan[#Headers],0))-INDEX(OfficeActual[],MATCH(INDEX(OfficeVariances[],ROW()-ROW(OfficeVariances[[#Headers],[פבר]]),1),INDEX(OfficePlan[],,1),0),MATCH(OfficeVariances[[#Headers],[פבר]],OfficeActual[#Headers],0))</f>
        <v>0</v>
      </c>
      <c r="E16" s="103">
        <f>INDEX(OfficePlan[],MATCH(INDEX(OfficeVariances[],ROW()-ROW(OfficeVariances[[#Headers],[מרץ]]),1),INDEX(OfficePlan[],,1),0),MATCH(OfficeVariances[[#Headers],[מרץ]],OfficePlan[#Headers],0))-INDEX(OfficeActual[],MATCH(INDEX(OfficeVariances[],ROW()-ROW(OfficeVariances[[#Headers],[מרץ]]),1),INDEX(OfficePlan[],,1),0),MATCH(OfficeVariances[[#Headers],[מרץ]],OfficeActual[#Headers],0))</f>
        <v>0</v>
      </c>
      <c r="F16" s="103">
        <f>INDEX(OfficePlan[],MATCH(INDEX(OfficeVariances[],ROW()-ROW(OfficeVariances[[#Headers],[אפר]]),1),INDEX(OfficePlan[],,1),0),MATCH(OfficeVariances[[#Headers],[אפר]],OfficePlan[#Headers],0))-INDEX(OfficeActual[],MATCH(INDEX(OfficeVariances[],ROW()-ROW(OfficeVariances[[#Headers],[אפר]]),1),INDEX(OfficePlan[],,1),0),MATCH(OfficeVariances[[#Headers],[אפר]],OfficeActual[#Headers],0))</f>
        <v>0</v>
      </c>
      <c r="G16" s="103">
        <f>INDEX(OfficePlan[],MATCH(INDEX(OfficeVariances[],ROW()-ROW(OfficeVariances[[#Headers],[מאי]]),1),INDEX(OfficePlan[],,1),0),MATCH(OfficeVariances[[#Headers],[מאי]],OfficePlan[#Headers],0))-INDEX(OfficeActual[],MATCH(INDEX(OfficeVariances[],ROW()-ROW(OfficeVariances[[#Headers],[מאי]]),1),INDEX(OfficePlan[],,1),0),MATCH(OfficeVariances[[#Headers],[מאי]],OfficeActual[#Headers],0))</f>
        <v>0</v>
      </c>
      <c r="H16" s="103">
        <f>INDEX(OfficePlan[],MATCH(INDEX(OfficeVariances[],ROW()-ROW(OfficeVariances[[#Headers],[יונ]]),1),INDEX(OfficePlan[],,1),0),MATCH(OfficeVariances[[#Headers],[יונ]],OfficePlan[#Headers],0))-INDEX(OfficeActual[],MATCH(INDEX(OfficeVariances[],ROW()-ROW(OfficeVariances[[#Headers],[יונ]]),1),INDEX(OfficePlan[],,1),0),MATCH(OfficeVariances[[#Headers],[יונ]],OfficeActual[#Headers],0))</f>
        <v>0</v>
      </c>
      <c r="I16" s="103">
        <f>INDEX(OfficePlan[],MATCH(INDEX(OfficeVariances[],ROW()-ROW(OfficeVariances[[#Headers],[יול]]),1),INDEX(OfficePlan[],,1),0),MATCH(OfficeVariances[[#Headers],[יול]],OfficePlan[#Headers],0))-INDEX(OfficeActual[],MATCH(INDEX(OfficeVariances[],ROW()-ROW(OfficeVariances[[#Headers],[יול]]),1),INDEX(OfficePlan[],,1),0),MATCH(OfficeVariances[[#Headers],[יול]],OfficeActual[#Headers],0))</f>
        <v>180</v>
      </c>
      <c r="J16" s="103">
        <f>INDEX(OfficePlan[],MATCH(INDEX(OfficeVariances[],ROW()-ROW(OfficeVariances[[#Headers],[אוג]]),1),INDEX(OfficePlan[],,1),0),MATCH(OfficeVariances[[#Headers],[אוג]],OfficePlan[#Headers],0))-INDEX(OfficeActual[],MATCH(INDEX(OfficeVariances[],ROW()-ROW(OfficeVariances[[#Headers],[אוג]]),1),INDEX(OfficePlan[],,1),0),MATCH(OfficeVariances[[#Headers],[אוג]],OfficeActual[#Headers],0))</f>
        <v>180</v>
      </c>
      <c r="K16" s="103">
        <f>INDEX(OfficePlan[],MATCH(INDEX(OfficeVariances[],ROW()-ROW(OfficeVariances[[#Headers],[ספט]]),1),INDEX(OfficePlan[],,1),0),MATCH(OfficeVariances[[#Headers],[ספט]],OfficePlan[#Headers],0))-INDEX(OfficeActual[],MATCH(INDEX(OfficeVariances[],ROW()-ROW(OfficeVariances[[#Headers],[ספט]]),1),INDEX(OfficePlan[],,1),0),MATCH(OfficeVariances[[#Headers],[ספט]],OfficeActual[#Headers],0))</f>
        <v>180</v>
      </c>
      <c r="L16" s="103">
        <f>INDEX(OfficePlan[],MATCH(INDEX(OfficeVariances[],ROW()-ROW(OfficeVariances[[#Headers],[אוק]]),1),INDEX(OfficePlan[],,1),0),MATCH(OfficeVariances[[#Headers],[אוק]],OfficePlan[#Headers],0))-INDEX(OfficeActual[],MATCH(INDEX(OfficeVariances[],ROW()-ROW(OfficeVariances[[#Headers],[אוק]]),1),INDEX(OfficePlan[],,1),0),MATCH(OfficeVariances[[#Headers],[אוק]],OfficeActual[#Headers],0))</f>
        <v>180</v>
      </c>
      <c r="M16" s="103">
        <f>INDEX(OfficePlan[],MATCH(INDEX(OfficeVariances[],ROW()-ROW(OfficeVariances[[#Headers],[נוב]]),1),INDEX(OfficePlan[],,1),0),MATCH(OfficeVariances[[#Headers],[נוב]],OfficePlan[#Headers],0))-INDEX(OfficeActual[],MATCH(INDEX(OfficeVariances[],ROW()-ROW(OfficeVariances[[#Headers],[נוב]]),1),INDEX(OfficePlan[],,1),0),MATCH(OfficeVariances[[#Headers],[נוב]],OfficeActual[#Headers],0))</f>
        <v>180</v>
      </c>
      <c r="N16" s="103">
        <f>INDEX(OfficePlan[],MATCH(INDEX(OfficeVariances[],ROW()-ROW(OfficeVariances[[#Headers],[דצמ]]),1),INDEX(OfficePlan[],,1),0),MATCH(OfficeVariances[[#Headers],[דצמ]],OfficePlan[#Headers],0))-INDEX(OfficeActual[],MATCH(INDEX(OfficeVariances[],ROW()-ROW(OfficeVariances[[#Headers],[דצמ]]),1),INDEX(OfficePlan[],,1),0),MATCH(OfficeVariances[[#Headers],[דצמ]],OfficeActual[#Headers],0))</f>
        <v>180</v>
      </c>
      <c r="O16" s="104">
        <f>SUM(OfficeVariances[[#This Row],[ינו]:[דצמ]])</f>
        <v>1080</v>
      </c>
      <c r="P16" s="22"/>
    </row>
    <row r="17" spans="1:16" ht="24.95" customHeight="1" thickBot="1" x14ac:dyDescent="0.3">
      <c r="A17" s="17"/>
      <c r="B17" s="42" t="s">
        <v>21</v>
      </c>
      <c r="C17" s="103">
        <f>INDEX(OfficePlan[],MATCH(INDEX(OfficeVariances[],ROW()-ROW(OfficeVariances[[#Headers],[ינו]]),1),INDEX(OfficePlan[],,1),0),MATCH(OfficeVariances[[#Headers],[ינו]],OfficePlan[#Headers],0))-INDEX(OfficeActual[],MATCH(INDEX(OfficeVariances[],ROW()-ROW(OfficeVariances[[#Headers],[ינו]]),1),INDEX(OfficePlan[],,1),0),MATCH(OfficeVariances[[#Headers],[ינו]],OfficeActual[#Headers],0))</f>
        <v>-56</v>
      </c>
      <c r="D17" s="103">
        <f>INDEX(OfficePlan[],MATCH(INDEX(OfficeVariances[],ROW()-ROW(OfficeVariances[[#Headers],[פבר]]),1),INDEX(OfficePlan[],,1),0),MATCH(OfficeVariances[[#Headers],[פבר]],OfficePlan[#Headers],0))-INDEX(OfficeActual[],MATCH(INDEX(OfficeVariances[],ROW()-ROW(OfficeVariances[[#Headers],[פבר]]),1),INDEX(OfficePlan[],,1),0),MATCH(OfficeVariances[[#Headers],[פבר]],OfficeActual[#Headers],0))</f>
        <v>58</v>
      </c>
      <c r="E17" s="103">
        <f>INDEX(OfficePlan[],MATCH(INDEX(OfficeVariances[],ROW()-ROW(OfficeVariances[[#Headers],[מרץ]]),1),INDEX(OfficePlan[],,1),0),MATCH(OfficeVariances[[#Headers],[מרץ]],OfficePlan[#Headers],0))-INDEX(OfficeActual[],MATCH(INDEX(OfficeVariances[],ROW()-ROW(OfficeVariances[[#Headers],[מרץ]]),1),INDEX(OfficePlan[],,1),0),MATCH(OfficeVariances[[#Headers],[מרץ]],OfficeActual[#Headers],0))</f>
        <v>40</v>
      </c>
      <c r="F17" s="103">
        <f>INDEX(OfficePlan[],MATCH(INDEX(OfficeVariances[],ROW()-ROW(OfficeVariances[[#Headers],[אפר]]),1),INDEX(OfficePlan[],,1),0),MATCH(OfficeVariances[[#Headers],[אפר]],OfficePlan[#Headers],0))-INDEX(OfficeActual[],MATCH(INDEX(OfficeVariances[],ROW()-ROW(OfficeVariances[[#Headers],[אפר]]),1),INDEX(OfficePlan[],,1),0),MATCH(OfficeVariances[[#Headers],[אפר]],OfficeActual[#Headers],0))</f>
        <v>-21</v>
      </c>
      <c r="G17" s="103">
        <f>INDEX(OfficePlan[],MATCH(INDEX(OfficeVariances[],ROW()-ROW(OfficeVariances[[#Headers],[מאי]]),1),INDEX(OfficePlan[],,1),0),MATCH(OfficeVariances[[#Headers],[מאי]],OfficePlan[#Headers],0))-INDEX(OfficeActual[],MATCH(INDEX(OfficeVariances[],ROW()-ROW(OfficeVariances[[#Headers],[מאי]]),1),INDEX(OfficePlan[],,1),0),MATCH(OfficeVariances[[#Headers],[מאי]],OfficeActual[#Headers],0))</f>
        <v>-56</v>
      </c>
      <c r="H17" s="103">
        <f>INDEX(OfficePlan[],MATCH(INDEX(OfficeVariances[],ROW()-ROW(OfficeVariances[[#Headers],[יונ]]),1),INDEX(OfficePlan[],,1),0),MATCH(OfficeVariances[[#Headers],[יונ]],OfficePlan[#Headers],0))-INDEX(OfficeActual[],MATCH(INDEX(OfficeVariances[],ROW()-ROW(OfficeVariances[[#Headers],[יונ]]),1),INDEX(OfficePlan[],,1),0),MATCH(OfficeVariances[[#Headers],[יונ]],OfficeActual[#Headers],0))</f>
        <v>-40</v>
      </c>
      <c r="I17" s="103">
        <f>INDEX(OfficePlan[],MATCH(INDEX(OfficeVariances[],ROW()-ROW(OfficeVariances[[#Headers],[יול]]),1),INDEX(OfficePlan[],,1),0),MATCH(OfficeVariances[[#Headers],[יול]],OfficePlan[#Headers],0))-INDEX(OfficeActual[],MATCH(INDEX(OfficeVariances[],ROW()-ROW(OfficeVariances[[#Headers],[יול]]),1),INDEX(OfficePlan[],,1),0),MATCH(OfficeVariances[[#Headers],[יול]],OfficeActual[#Headers],0))</f>
        <v>200</v>
      </c>
      <c r="J17" s="103">
        <f>INDEX(OfficePlan[],MATCH(INDEX(OfficeVariances[],ROW()-ROW(OfficeVariances[[#Headers],[אוג]]),1),INDEX(OfficePlan[],,1),0),MATCH(OfficeVariances[[#Headers],[אוג]],OfficePlan[#Headers],0))-INDEX(OfficeActual[],MATCH(INDEX(OfficeVariances[],ROW()-ROW(OfficeVariances[[#Headers],[אוג]]),1),INDEX(OfficePlan[],,1),0),MATCH(OfficeVariances[[#Headers],[אוג]],OfficeActual[#Headers],0))</f>
        <v>200</v>
      </c>
      <c r="K17" s="103">
        <f>INDEX(OfficePlan[],MATCH(INDEX(OfficeVariances[],ROW()-ROW(OfficeVariances[[#Headers],[ספט]]),1),INDEX(OfficePlan[],,1),0),MATCH(OfficeVariances[[#Headers],[ספט]],OfficePlan[#Headers],0))-INDEX(OfficeActual[],MATCH(INDEX(OfficeVariances[],ROW()-ROW(OfficeVariances[[#Headers],[ספט]]),1),INDEX(OfficePlan[],,1),0),MATCH(OfficeVariances[[#Headers],[ספט]],OfficeActual[#Headers],0))</f>
        <v>200</v>
      </c>
      <c r="L17" s="103">
        <f>INDEX(OfficePlan[],MATCH(INDEX(OfficeVariances[],ROW()-ROW(OfficeVariances[[#Headers],[אוק]]),1),INDEX(OfficePlan[],,1),0),MATCH(OfficeVariances[[#Headers],[אוק]],OfficePlan[#Headers],0))-INDEX(OfficeActual[],MATCH(INDEX(OfficeVariances[],ROW()-ROW(OfficeVariances[[#Headers],[אוק]]),1),INDEX(OfficePlan[],,1),0),MATCH(OfficeVariances[[#Headers],[אוק]],OfficeActual[#Headers],0))</f>
        <v>200</v>
      </c>
      <c r="M17" s="103">
        <f>INDEX(OfficePlan[],MATCH(INDEX(OfficeVariances[],ROW()-ROW(OfficeVariances[[#Headers],[נוב]]),1),INDEX(OfficePlan[],,1),0),MATCH(OfficeVariances[[#Headers],[נוב]],OfficePlan[#Headers],0))-INDEX(OfficeActual[],MATCH(INDEX(OfficeVariances[],ROW()-ROW(OfficeVariances[[#Headers],[נוב]]),1),INDEX(OfficePlan[],,1),0),MATCH(OfficeVariances[[#Headers],[נוב]],OfficeActual[#Headers],0))</f>
        <v>200</v>
      </c>
      <c r="N17" s="103">
        <f>INDEX(OfficePlan[],MATCH(INDEX(OfficeVariances[],ROW()-ROW(OfficeVariances[[#Headers],[דצמ]]),1),INDEX(OfficePlan[],,1),0),MATCH(OfficeVariances[[#Headers],[דצמ]],OfficePlan[#Headers],0))-INDEX(OfficeActual[],MATCH(INDEX(OfficeVariances[],ROW()-ROW(OfficeVariances[[#Headers],[דצמ]]),1),INDEX(OfficePlan[],,1),0),MATCH(OfficeVariances[[#Headers],[דצמ]],OfficeActual[#Headers],0))</f>
        <v>200</v>
      </c>
      <c r="O17" s="104">
        <f>SUM(OfficeVariances[[#This Row],[ינו]:[דצמ]])</f>
        <v>1125</v>
      </c>
      <c r="P17" s="22"/>
    </row>
    <row r="18" spans="1:16" ht="24.95" customHeight="1" thickBot="1" x14ac:dyDescent="0.3">
      <c r="A18" s="17"/>
      <c r="B18" s="42" t="s">
        <v>22</v>
      </c>
      <c r="C18" s="103">
        <f>INDEX(OfficePlan[],MATCH(INDEX(OfficeVariances[],ROW()-ROW(OfficeVariances[[#Headers],[ינו]]),1),INDEX(OfficePlan[],,1),0),MATCH(OfficeVariances[[#Headers],[ינו]],OfficePlan[#Headers],0))-INDEX(OfficeActual[],MATCH(INDEX(OfficeVariances[],ROW()-ROW(OfficeVariances[[#Headers],[ינו]]),1),INDEX(OfficePlan[],,1),0),MATCH(OfficeVariances[[#Headers],[ינו]],OfficeActual[#Headers],0))</f>
        <v>0</v>
      </c>
      <c r="D18" s="103">
        <f>INDEX(OfficePlan[],MATCH(INDEX(OfficeVariances[],ROW()-ROW(OfficeVariances[[#Headers],[פבר]]),1),INDEX(OfficePlan[],,1),0),MATCH(OfficeVariances[[#Headers],[פבר]],OfficePlan[#Headers],0))-INDEX(OfficeActual[],MATCH(INDEX(OfficeVariances[],ROW()-ROW(OfficeVariances[[#Headers],[פבר]]),1),INDEX(OfficePlan[],,1),0),MATCH(OfficeVariances[[#Headers],[פבר]],OfficeActual[#Headers],0))</f>
        <v>0</v>
      </c>
      <c r="E18" s="103">
        <f>INDEX(OfficePlan[],MATCH(INDEX(OfficeVariances[],ROW()-ROW(OfficeVariances[[#Headers],[מרץ]]),1),INDEX(OfficePlan[],,1),0),MATCH(OfficeVariances[[#Headers],[מרץ]],OfficePlan[#Headers],0))-INDEX(OfficeActual[],MATCH(INDEX(OfficeVariances[],ROW()-ROW(OfficeVariances[[#Headers],[מרץ]]),1),INDEX(OfficePlan[],,1),0),MATCH(OfficeVariances[[#Headers],[מרץ]],OfficeActual[#Headers],0))</f>
        <v>0</v>
      </c>
      <c r="F18" s="103">
        <f>INDEX(OfficePlan[],MATCH(INDEX(OfficeVariances[],ROW()-ROW(OfficeVariances[[#Headers],[אפר]]),1),INDEX(OfficePlan[],,1),0),MATCH(OfficeVariances[[#Headers],[אפר]],OfficePlan[#Headers],0))-INDEX(OfficeActual[],MATCH(INDEX(OfficeVariances[],ROW()-ROW(OfficeVariances[[#Headers],[אפר]]),1),INDEX(OfficePlan[],,1),0),MATCH(OfficeVariances[[#Headers],[אפר]],OfficeActual[#Headers],0))</f>
        <v>0</v>
      </c>
      <c r="G18" s="103">
        <f>INDEX(OfficePlan[],MATCH(INDEX(OfficeVariances[],ROW()-ROW(OfficeVariances[[#Headers],[מאי]]),1),INDEX(OfficePlan[],,1),0),MATCH(OfficeVariances[[#Headers],[מאי]],OfficePlan[#Headers],0))-INDEX(OfficeActual[],MATCH(INDEX(OfficeVariances[],ROW()-ROW(OfficeVariances[[#Headers],[מאי]]),1),INDEX(OfficePlan[],,1),0),MATCH(OfficeVariances[[#Headers],[מאי]],OfficeActual[#Headers],0))</f>
        <v>0</v>
      </c>
      <c r="H18" s="103">
        <f>INDEX(OfficePlan[],MATCH(INDEX(OfficeVariances[],ROW()-ROW(OfficeVariances[[#Headers],[יונ]]),1),INDEX(OfficePlan[],,1),0),MATCH(OfficeVariances[[#Headers],[יונ]],OfficePlan[#Headers],0))-INDEX(OfficeActual[],MATCH(INDEX(OfficeVariances[],ROW()-ROW(OfficeVariances[[#Headers],[יונ]]),1),INDEX(OfficePlan[],,1),0),MATCH(OfficeVariances[[#Headers],[יונ]],OfficeActual[#Headers],0))</f>
        <v>0</v>
      </c>
      <c r="I18" s="103">
        <f>INDEX(OfficePlan[],MATCH(INDEX(OfficeVariances[],ROW()-ROW(OfficeVariances[[#Headers],[יול]]),1),INDEX(OfficePlan[],,1),0),MATCH(OfficeVariances[[#Headers],[יול]],OfficePlan[#Headers],0))-INDEX(OfficeActual[],MATCH(INDEX(OfficeVariances[],ROW()-ROW(OfficeVariances[[#Headers],[יול]]),1),INDEX(OfficePlan[],,1),0),MATCH(OfficeVariances[[#Headers],[יול]],OfficeActual[#Headers],0))</f>
        <v>600</v>
      </c>
      <c r="J18" s="103">
        <f>INDEX(OfficePlan[],MATCH(INDEX(OfficeVariances[],ROW()-ROW(OfficeVariances[[#Headers],[אוג]]),1),INDEX(OfficePlan[],,1),0),MATCH(OfficeVariances[[#Headers],[אוג]],OfficePlan[#Headers],0))-INDEX(OfficeActual[],MATCH(INDEX(OfficeVariances[],ROW()-ROW(OfficeVariances[[#Headers],[אוג]]),1),INDEX(OfficePlan[],,1),0),MATCH(OfficeVariances[[#Headers],[אוג]],OfficeActual[#Headers],0))</f>
        <v>600</v>
      </c>
      <c r="K18" s="103">
        <f>INDEX(OfficePlan[],MATCH(INDEX(OfficeVariances[],ROW()-ROW(OfficeVariances[[#Headers],[ספט]]),1),INDEX(OfficePlan[],,1),0),MATCH(OfficeVariances[[#Headers],[ספט]],OfficePlan[#Headers],0))-INDEX(OfficeActual[],MATCH(INDEX(OfficeVariances[],ROW()-ROW(OfficeVariances[[#Headers],[ספט]]),1),INDEX(OfficePlan[],,1),0),MATCH(OfficeVariances[[#Headers],[ספט]],OfficeActual[#Headers],0))</f>
        <v>600</v>
      </c>
      <c r="L18" s="103">
        <f>INDEX(OfficePlan[],MATCH(INDEX(OfficeVariances[],ROW()-ROW(OfficeVariances[[#Headers],[אוק]]),1),INDEX(OfficePlan[],,1),0),MATCH(OfficeVariances[[#Headers],[אוק]],OfficePlan[#Headers],0))-INDEX(OfficeActual[],MATCH(INDEX(OfficeVariances[],ROW()-ROW(OfficeVariances[[#Headers],[אוק]]),1),INDEX(OfficePlan[],,1),0),MATCH(OfficeVariances[[#Headers],[אוק]],OfficeActual[#Headers],0))</f>
        <v>600</v>
      </c>
      <c r="M18" s="103">
        <f>INDEX(OfficePlan[],MATCH(INDEX(OfficeVariances[],ROW()-ROW(OfficeVariances[[#Headers],[נוב]]),1),INDEX(OfficePlan[],,1),0),MATCH(OfficeVariances[[#Headers],[נוב]],OfficePlan[#Headers],0))-INDEX(OfficeActual[],MATCH(INDEX(OfficeVariances[],ROW()-ROW(OfficeVariances[[#Headers],[נוב]]),1),INDEX(OfficePlan[],,1),0),MATCH(OfficeVariances[[#Headers],[נוב]],OfficeActual[#Headers],0))</f>
        <v>600</v>
      </c>
      <c r="N18" s="103">
        <f>INDEX(OfficePlan[],MATCH(INDEX(OfficeVariances[],ROW()-ROW(OfficeVariances[[#Headers],[דצמ]]),1),INDEX(OfficePlan[],,1),0),MATCH(OfficeVariances[[#Headers],[דצמ]],OfficePlan[#Headers],0))-INDEX(OfficeActual[],MATCH(INDEX(OfficeVariances[],ROW()-ROW(OfficeVariances[[#Headers],[דצמ]]),1),INDEX(OfficePlan[],,1),0),MATCH(OfficeVariances[[#Headers],[דצמ]],OfficeActual[#Headers],0))</f>
        <v>600</v>
      </c>
      <c r="O18" s="104">
        <f>SUM(OfficeVariances[[#This Row],[ינו]:[דצמ]])</f>
        <v>3600</v>
      </c>
      <c r="P18" s="22"/>
    </row>
    <row r="19" spans="1:16" ht="24.95" customHeight="1" x14ac:dyDescent="0.25">
      <c r="A19" s="17"/>
      <c r="B19" s="51" t="s">
        <v>13</v>
      </c>
      <c r="C19" s="86">
        <f>SUBTOTAL(109,OfficeVariances[ינו])</f>
        <v>-17</v>
      </c>
      <c r="D19" s="105">
        <f>SUBTOTAL(109,OfficeVariances[פבר])</f>
        <v>72</v>
      </c>
      <c r="E19" s="105">
        <f>SUBTOTAL(109,OfficeVariances[מרץ])</f>
        <v>78</v>
      </c>
      <c r="F19" s="105">
        <f>SUBTOTAL(109,OfficeVariances[אפר])</f>
        <v>-141</v>
      </c>
      <c r="G19" s="105">
        <f>SUBTOTAL(109,OfficeVariances[מאי])</f>
        <v>-38</v>
      </c>
      <c r="H19" s="105">
        <f>SUBTOTAL(109,OfficeVariances[יונ])</f>
        <v>16</v>
      </c>
      <c r="I19" s="105">
        <f>SUBTOTAL(109,OfficeVariances[יול])</f>
        <v>11470</v>
      </c>
      <c r="J19" s="105">
        <f>SUBTOTAL(109,OfficeVariances[אוג])</f>
        <v>11470</v>
      </c>
      <c r="K19" s="105">
        <f>SUBTOTAL(109,OfficeVariances[ספט])</f>
        <v>11470</v>
      </c>
      <c r="L19" s="105">
        <f>SUBTOTAL(109,OfficeVariances[אוק])</f>
        <v>11470</v>
      </c>
      <c r="M19" s="105">
        <f>SUBTOTAL(109,OfficeVariances[נוב])</f>
        <v>11770</v>
      </c>
      <c r="N19" s="105">
        <f>SUBTOTAL(109,OfficeVariances[דצמ])</f>
        <v>11770</v>
      </c>
      <c r="O19" s="106">
        <f>SUBTOTAL(109,OfficeVariances[שנה])</f>
        <v>69390</v>
      </c>
      <c r="P19" s="22"/>
    </row>
    <row r="20" spans="1:16" ht="21" customHeight="1" x14ac:dyDescent="0.25">
      <c r="A20" s="17"/>
      <c r="B20" s="29"/>
      <c r="C20" s="29"/>
      <c r="D20" s="74"/>
      <c r="E20" s="74"/>
      <c r="F20" s="79"/>
      <c r="G20" s="79"/>
      <c r="H20" s="79"/>
      <c r="I20" s="79"/>
      <c r="J20" s="79"/>
      <c r="K20" s="79"/>
      <c r="L20" s="79"/>
      <c r="M20" s="79"/>
      <c r="N20" s="79"/>
      <c r="O20" s="75"/>
      <c r="P20" s="22"/>
    </row>
    <row r="21" spans="1:16" ht="24.95" customHeight="1" thickBot="1" x14ac:dyDescent="0.3">
      <c r="A21" s="17"/>
      <c r="B21" s="30" t="s">
        <v>23</v>
      </c>
      <c r="C21" s="80" t="s">
        <v>36</v>
      </c>
      <c r="D21" s="80" t="s">
        <v>37</v>
      </c>
      <c r="E21" s="80" t="s">
        <v>38</v>
      </c>
      <c r="F21" s="80" t="s">
        <v>39</v>
      </c>
      <c r="G21" s="80" t="s">
        <v>40</v>
      </c>
      <c r="H21" s="80" t="s">
        <v>41</v>
      </c>
      <c r="I21" s="80" t="s">
        <v>42</v>
      </c>
      <c r="J21" s="80" t="s">
        <v>43</v>
      </c>
      <c r="K21" s="80" t="s">
        <v>46</v>
      </c>
      <c r="L21" s="80" t="s">
        <v>47</v>
      </c>
      <c r="M21" s="80" t="s">
        <v>48</v>
      </c>
      <c r="N21" s="80" t="s">
        <v>49</v>
      </c>
      <c r="O21" s="81" t="s">
        <v>50</v>
      </c>
      <c r="P21" s="22"/>
    </row>
    <row r="22" spans="1:16" ht="24.95" customHeight="1" thickBot="1" x14ac:dyDescent="0.3">
      <c r="A22" s="17"/>
      <c r="B22" s="42" t="s">
        <v>24</v>
      </c>
      <c r="C22" s="103">
        <f>INDEX(MarketingPlan[],MATCH(INDEX(MarketingVariances[],ROW()-ROW(MarketingVariances[[#Headers],[ינו]]),1),INDEX(MarketingPlan[],,1),0),MATCH(MarketingVariances[[#Headers],[ינו]],MarketingPlan[#Headers],0))-INDEX(MarketingActual[],MATCH(INDEX(MarketingVariances[],ROW()-ROW(MarketingVariances[[#Headers],[ינו]]),1),INDEX(MarketingPlan[],,1),0),MATCH(MarketingVariances[[#Headers],[ינו]],MarketingActual[#Headers],0))</f>
        <v>0</v>
      </c>
      <c r="D22" s="103">
        <f>INDEX(MarketingPlan[],MATCH(INDEX(MarketingVariances[],ROW()-ROW(MarketingVariances[[#Headers],[פבר]]),1),INDEX(MarketingPlan[],,1),0),MATCH(MarketingVariances[[#Headers],[פבר]],MarketingPlan[#Headers],0))-INDEX(MarketingActual[],MATCH(INDEX(MarketingVariances[],ROW()-ROW(MarketingVariances[[#Headers],[פבר]]),1),INDEX(MarketingPlan[],,1),0),MATCH(MarketingVariances[[#Headers],[פבר]],MarketingActual[#Headers],0))</f>
        <v>0</v>
      </c>
      <c r="E22" s="103">
        <f>INDEX(MarketingPlan[],MATCH(INDEX(MarketingVariances[],ROW()-ROW(MarketingVariances[[#Headers],[מרץ]]),1),INDEX(MarketingPlan[],,1),0),MATCH(MarketingVariances[[#Headers],[מרץ]],MarketingPlan[#Headers],0))-INDEX(MarketingActual[],MATCH(INDEX(MarketingVariances[],ROW()-ROW(MarketingVariances[[#Headers],[מרץ]]),1),INDEX(MarketingPlan[],,1),0),MATCH(MarketingVariances[[#Headers],[מרץ]],MarketingActual[#Headers],0))</f>
        <v>0</v>
      </c>
      <c r="F22" s="103">
        <f>INDEX(MarketingPlan[],MATCH(INDEX(MarketingVariances[],ROW()-ROW(MarketingVariances[[#Headers],[אפר]]),1),INDEX(MarketingPlan[],,1),0),MATCH(MarketingVariances[[#Headers],[אפר]],MarketingPlan[#Headers],0))-INDEX(MarketingActual[],MATCH(INDEX(MarketingVariances[],ROW()-ROW(MarketingVariances[[#Headers],[אפר]]),1),INDEX(MarketingPlan[],,1),0),MATCH(MarketingVariances[[#Headers],[אפר]],MarketingActual[#Headers],0))</f>
        <v>0</v>
      </c>
      <c r="G22" s="103">
        <f>INDEX(MarketingPlan[],MATCH(INDEX(MarketingVariances[],ROW()-ROW(MarketingVariances[[#Headers],[מאי]]),1),INDEX(MarketingPlan[],,1),0),MATCH(MarketingVariances[[#Headers],[מאי]],MarketingPlan[#Headers],0))-INDEX(MarketingActual[],MATCH(INDEX(MarketingVariances[],ROW()-ROW(MarketingVariances[[#Headers],[מאי]]),1),INDEX(MarketingPlan[],,1),0),MATCH(MarketingVariances[[#Headers],[מאי]],MarketingActual[#Headers],0))</f>
        <v>0</v>
      </c>
      <c r="H22" s="103">
        <f>INDEX(MarketingPlan[],MATCH(INDEX(MarketingVariances[],ROW()-ROW(MarketingVariances[[#Headers],[יונ]]),1),INDEX(MarketingPlan[],,1),0),MATCH(MarketingVariances[[#Headers],[יונ]],MarketingPlan[#Headers],0))-INDEX(MarketingActual[],MATCH(INDEX(MarketingVariances[],ROW()-ROW(MarketingVariances[[#Headers],[יונ]]),1),INDEX(MarketingPlan[],,1),0),MATCH(MarketingVariances[[#Headers],[יונ]],MarketingActual[#Headers],0))</f>
        <v>0</v>
      </c>
      <c r="I22" s="103">
        <f>INDEX(MarketingPlan[],MATCH(INDEX(MarketingVariances[],ROW()-ROW(MarketingVariances[[#Headers],[יול]]),1),INDEX(MarketingPlan[],,1),0),MATCH(MarketingVariances[[#Headers],[יול]],MarketingPlan[#Headers],0))-INDEX(MarketingActual[],MATCH(INDEX(MarketingVariances[],ROW()-ROW(MarketingVariances[[#Headers],[יול]]),1),INDEX(MarketingPlan[],,1),0),MATCH(MarketingVariances[[#Headers],[יול]],MarketingActual[#Headers],0))</f>
        <v>500</v>
      </c>
      <c r="J22" s="103">
        <f>INDEX(MarketingPlan[],MATCH(INDEX(MarketingVariances[],ROW()-ROW(MarketingVariances[[#Headers],[אוג]]),1),INDEX(MarketingPlan[],,1),0),MATCH(MarketingVariances[[#Headers],[אוג]],MarketingPlan[#Headers],0))-INDEX(MarketingActual[],MATCH(INDEX(MarketingVariances[],ROW()-ROW(MarketingVariances[[#Headers],[אוג]]),1),INDEX(MarketingPlan[],,1),0),MATCH(MarketingVariances[[#Headers],[אוג]],MarketingActual[#Headers],0))</f>
        <v>500</v>
      </c>
      <c r="K22" s="103">
        <f>INDEX(MarketingPlan[],MATCH(INDEX(MarketingVariances[],ROW()-ROW(MarketingVariances[[#Headers],[ספט]]),1),INDEX(MarketingPlan[],,1),0),MATCH(MarketingVariances[[#Headers],[ספט]],MarketingPlan[#Headers],0))-INDEX(MarketingActual[],MATCH(INDEX(MarketingVariances[],ROW()-ROW(MarketingVariances[[#Headers],[ספט]]),1),INDEX(MarketingPlan[],,1),0),MATCH(MarketingVariances[[#Headers],[ספט]],MarketingActual[#Headers],0))</f>
        <v>500</v>
      </c>
      <c r="L22" s="103">
        <f>INDEX(MarketingPlan[],MATCH(INDEX(MarketingVariances[],ROW()-ROW(MarketingVariances[[#Headers],[אוק]]),1),INDEX(MarketingPlan[],,1),0),MATCH(MarketingVariances[[#Headers],[אוק]],MarketingPlan[#Headers],0))-INDEX(MarketingActual[],MATCH(INDEX(MarketingVariances[],ROW()-ROW(MarketingVariances[[#Headers],[אוק]]),1),INDEX(MarketingPlan[],,1),0),MATCH(MarketingVariances[[#Headers],[אוק]],MarketingActual[#Headers],0))</f>
        <v>500</v>
      </c>
      <c r="M22" s="103">
        <f>INDEX(MarketingPlan[],MATCH(INDEX(MarketingVariances[],ROW()-ROW(MarketingVariances[[#Headers],[נוב]]),1),INDEX(MarketingPlan[],,1),0),MATCH(MarketingVariances[[#Headers],[נוב]],MarketingPlan[#Headers],0))-INDEX(MarketingActual[],MATCH(INDEX(MarketingVariances[],ROW()-ROW(MarketingVariances[[#Headers],[נוב]]),1),INDEX(MarketingPlan[],,1),0),MATCH(MarketingVariances[[#Headers],[נוב]],MarketingActual[#Headers],0))</f>
        <v>500</v>
      </c>
      <c r="N22" s="103">
        <f>INDEX(MarketingPlan[],MATCH(INDEX(MarketingVariances[],ROW()-ROW(MarketingVariances[[#Headers],[דצמ]]),1),INDEX(MarketingPlan[],,1),0),MATCH(MarketingVariances[[#Headers],[דצמ]],MarketingPlan[#Headers],0))-INDEX(MarketingActual[],MATCH(INDEX(MarketingVariances[],ROW()-ROW(MarketingVariances[[#Headers],[דצמ]]),1),INDEX(MarketingPlan[],,1),0),MATCH(MarketingVariances[[#Headers],[דצמ]],MarketingActual[#Headers],0))</f>
        <v>500</v>
      </c>
      <c r="O22" s="104">
        <f>SUM(MarketingVariances[[#This Row],[ינו]:[דצמ]])</f>
        <v>3000</v>
      </c>
      <c r="P22" s="22"/>
    </row>
    <row r="23" spans="1:16" ht="24.95" customHeight="1" thickBot="1" x14ac:dyDescent="0.3">
      <c r="A23" s="17"/>
      <c r="B23" s="42" t="s">
        <v>25</v>
      </c>
      <c r="C23" s="103">
        <f>INDEX(MarketingPlan[],MATCH(INDEX(MarketingVariances[],ROW()-ROW(MarketingVariances[[#Headers],[ינו]]),1),INDEX(MarketingPlan[],,1),0),MATCH(MarketingVariances[[#Headers],[ינו]],MarketingPlan[#Headers],0))-INDEX(MarketingActual[],MATCH(INDEX(MarketingVariances[],ROW()-ROW(MarketingVariances[[#Headers],[ינו]]),1),INDEX(MarketingPlan[],,1),0),MATCH(MarketingVariances[[#Headers],[ינו]],MarketingActual[#Headers],0))</f>
        <v>0</v>
      </c>
      <c r="D23" s="103">
        <f>INDEX(MarketingPlan[],MATCH(INDEX(MarketingVariances[],ROW()-ROW(MarketingVariances[[#Headers],[פבר]]),1),INDEX(MarketingPlan[],,1),0),MATCH(MarketingVariances[[#Headers],[פבר]],MarketingPlan[#Headers],0))-INDEX(MarketingActual[],MATCH(INDEX(MarketingVariances[],ROW()-ROW(MarketingVariances[[#Headers],[פבר]]),1),INDEX(MarketingPlan[],,1),0),MATCH(MarketingVariances[[#Headers],[פבר]],MarketingActual[#Headers],0))</f>
        <v>0</v>
      </c>
      <c r="E23" s="103">
        <f>INDEX(MarketingPlan[],MATCH(INDEX(MarketingVariances[],ROW()-ROW(MarketingVariances[[#Headers],[מרץ]]),1),INDEX(MarketingPlan[],,1),0),MATCH(MarketingVariances[[#Headers],[מרץ]],MarketingPlan[#Headers],0))-INDEX(MarketingActual[],MATCH(INDEX(MarketingVariances[],ROW()-ROW(MarketingVariances[[#Headers],[מרץ]]),1),INDEX(MarketingPlan[],,1),0),MATCH(MarketingVariances[[#Headers],[מרץ]],MarketingActual[#Headers],0))</f>
        <v>0</v>
      </c>
      <c r="F23" s="103">
        <f>INDEX(MarketingPlan[],MATCH(INDEX(MarketingVariances[],ROW()-ROW(MarketingVariances[[#Headers],[אפר]]),1),INDEX(MarketingPlan[],,1),0),MATCH(MarketingVariances[[#Headers],[אפר]],MarketingPlan[#Headers],0))-INDEX(MarketingActual[],MATCH(INDEX(MarketingVariances[],ROW()-ROW(MarketingVariances[[#Headers],[אפר]]),1),INDEX(MarketingPlan[],,1),0),MATCH(MarketingVariances[[#Headers],[אפר]],MarketingActual[#Headers],0))</f>
        <v>0</v>
      </c>
      <c r="G23" s="103">
        <f>INDEX(MarketingPlan[],MATCH(INDEX(MarketingVariances[],ROW()-ROW(MarketingVariances[[#Headers],[מאי]]),1),INDEX(MarketingPlan[],,1),0),MATCH(MarketingVariances[[#Headers],[מאי]],MarketingPlan[#Headers],0))-INDEX(MarketingActual[],MATCH(INDEX(MarketingVariances[],ROW()-ROW(MarketingVariances[[#Headers],[מאי]]),1),INDEX(MarketingPlan[],,1),0),MATCH(MarketingVariances[[#Headers],[מאי]],MarketingActual[#Headers],0))</f>
        <v>0</v>
      </c>
      <c r="H23" s="103">
        <f>INDEX(MarketingPlan[],MATCH(INDEX(MarketingVariances[],ROW()-ROW(MarketingVariances[[#Headers],[יונ]]),1),INDEX(MarketingPlan[],,1),0),MATCH(MarketingVariances[[#Headers],[יונ]],MarketingPlan[#Headers],0))-INDEX(MarketingActual[],MATCH(INDEX(MarketingVariances[],ROW()-ROW(MarketingVariances[[#Headers],[יונ]]),1),INDEX(MarketingPlan[],,1),0),MATCH(MarketingVariances[[#Headers],[יונ]],MarketingActual[#Headers],0))</f>
        <v>-500</v>
      </c>
      <c r="I23" s="103">
        <f>INDEX(MarketingPlan[],MATCH(INDEX(MarketingVariances[],ROW()-ROW(MarketingVariances[[#Headers],[יול]]),1),INDEX(MarketingPlan[],,1),0),MATCH(MarketingVariances[[#Headers],[יול]],MarketingPlan[#Headers],0))-INDEX(MarketingActual[],MATCH(INDEX(MarketingVariances[],ROW()-ROW(MarketingVariances[[#Headers],[יול]]),1),INDEX(MarketingPlan[],,1),0),MATCH(MarketingVariances[[#Headers],[יול]],MarketingActual[#Headers],0))</f>
        <v>200</v>
      </c>
      <c r="J23" s="103">
        <f>INDEX(MarketingPlan[],MATCH(INDEX(MarketingVariances[],ROW()-ROW(MarketingVariances[[#Headers],[אוג]]),1),INDEX(MarketingPlan[],,1),0),MATCH(MarketingVariances[[#Headers],[אוג]],MarketingPlan[#Headers],0))-INDEX(MarketingActual[],MATCH(INDEX(MarketingVariances[],ROW()-ROW(MarketingVariances[[#Headers],[אוג]]),1),INDEX(MarketingPlan[],,1),0),MATCH(MarketingVariances[[#Headers],[אוג]],MarketingActual[#Headers],0))</f>
        <v>200</v>
      </c>
      <c r="K23" s="103">
        <f>INDEX(MarketingPlan[],MATCH(INDEX(MarketingVariances[],ROW()-ROW(MarketingVariances[[#Headers],[ספט]]),1),INDEX(MarketingPlan[],,1),0),MATCH(MarketingVariances[[#Headers],[ספט]],MarketingPlan[#Headers],0))-INDEX(MarketingActual[],MATCH(INDEX(MarketingVariances[],ROW()-ROW(MarketingVariances[[#Headers],[ספט]]),1),INDEX(MarketingPlan[],,1),0),MATCH(MarketingVariances[[#Headers],[ספט]],MarketingActual[#Headers],0))</f>
        <v>200</v>
      </c>
      <c r="L23" s="103">
        <f>INDEX(MarketingPlan[],MATCH(INDEX(MarketingVariances[],ROW()-ROW(MarketingVariances[[#Headers],[אוק]]),1),INDEX(MarketingPlan[],,1),0),MATCH(MarketingVariances[[#Headers],[אוק]],MarketingPlan[#Headers],0))-INDEX(MarketingActual[],MATCH(INDEX(MarketingVariances[],ROW()-ROW(MarketingVariances[[#Headers],[אוק]]),1),INDEX(MarketingPlan[],,1),0),MATCH(MarketingVariances[[#Headers],[אוק]],MarketingActual[#Headers],0))</f>
        <v>200</v>
      </c>
      <c r="M23" s="103">
        <f>INDEX(MarketingPlan[],MATCH(INDEX(MarketingVariances[],ROW()-ROW(MarketingVariances[[#Headers],[נוב]]),1),INDEX(MarketingPlan[],,1),0),MATCH(MarketingVariances[[#Headers],[נוב]],MarketingPlan[#Headers],0))-INDEX(MarketingActual[],MATCH(INDEX(MarketingVariances[],ROW()-ROW(MarketingVariances[[#Headers],[נוב]]),1),INDEX(MarketingPlan[],,1),0),MATCH(MarketingVariances[[#Headers],[נוב]],MarketingActual[#Headers],0))</f>
        <v>200</v>
      </c>
      <c r="N23" s="103">
        <f>INDEX(MarketingPlan[],MATCH(INDEX(MarketingVariances[],ROW()-ROW(MarketingVariances[[#Headers],[דצמ]]),1),INDEX(MarketingPlan[],,1),0),MATCH(MarketingVariances[[#Headers],[דצמ]],MarketingPlan[#Headers],0))-INDEX(MarketingActual[],MATCH(INDEX(MarketingVariances[],ROW()-ROW(MarketingVariances[[#Headers],[דצמ]]),1),INDEX(MarketingPlan[],,1),0),MATCH(MarketingVariances[[#Headers],[דצמ]],MarketingActual[#Headers],0))</f>
        <v>1000</v>
      </c>
      <c r="O23" s="104">
        <f>SUM(MarketingVariances[[#This Row],[ינו]:[דצמ]])</f>
        <v>1500</v>
      </c>
      <c r="P23" s="22"/>
    </row>
    <row r="24" spans="1:16" ht="24.95" customHeight="1" thickBot="1" x14ac:dyDescent="0.3">
      <c r="A24" s="17"/>
      <c r="B24" s="42" t="s">
        <v>26</v>
      </c>
      <c r="C24" s="103">
        <f>INDEX(MarketingPlan[],MATCH(INDEX(MarketingVariances[],ROW()-ROW(MarketingVariances[[#Headers],[ינו]]),1),INDEX(MarketingPlan[],,1),0),MATCH(MarketingVariances[[#Headers],[ינו]],MarketingPlan[#Headers],0))-INDEX(MarketingActual[],MATCH(INDEX(MarketingVariances[],ROW()-ROW(MarketingVariances[[#Headers],[ינו]]),1),INDEX(MarketingPlan[],,1),0),MATCH(MarketingVariances[[#Headers],[ינו]],MarketingActual[#Headers],0))</f>
        <v>200</v>
      </c>
      <c r="D24" s="103">
        <f>INDEX(MarketingPlan[],MATCH(INDEX(MarketingVariances[],ROW()-ROW(MarketingVariances[[#Headers],[פבר]]),1),INDEX(MarketingPlan[],,1),0),MATCH(MarketingVariances[[#Headers],[פבר]],MarketingPlan[#Headers],0))-INDEX(MarketingActual[],MATCH(INDEX(MarketingVariances[],ROW()-ROW(MarketingVariances[[#Headers],[פבר]]),1),INDEX(MarketingPlan[],,1),0),MATCH(MarketingVariances[[#Headers],[פבר]],MarketingActual[#Headers],0))</f>
        <v>0</v>
      </c>
      <c r="E24" s="103">
        <f>INDEX(MarketingPlan[],MATCH(INDEX(MarketingVariances[],ROW()-ROW(MarketingVariances[[#Headers],[מרץ]]),1),INDEX(MarketingPlan[],,1),0),MATCH(MarketingVariances[[#Headers],[מרץ]],MarketingPlan[#Headers],0))-INDEX(MarketingActual[],MATCH(INDEX(MarketingVariances[],ROW()-ROW(MarketingVariances[[#Headers],[מרץ]]),1),INDEX(MarketingPlan[],,1),0),MATCH(MarketingVariances[[#Headers],[מרץ]],MarketingActual[#Headers],0))</f>
        <v>0</v>
      </c>
      <c r="F24" s="103">
        <f>INDEX(MarketingPlan[],MATCH(INDEX(MarketingVariances[],ROW()-ROW(MarketingVariances[[#Headers],[אפר]]),1),INDEX(MarketingPlan[],,1),0),MATCH(MarketingVariances[[#Headers],[אפר]],MarketingPlan[#Headers],0))-INDEX(MarketingActual[],MATCH(INDEX(MarketingVariances[],ROW()-ROW(MarketingVariances[[#Headers],[אפר]]),1),INDEX(MarketingPlan[],,1),0),MATCH(MarketingVariances[[#Headers],[אפר]],MarketingActual[#Headers],0))</f>
        <v>-500</v>
      </c>
      <c r="G24" s="103">
        <f>INDEX(MarketingPlan[],MATCH(INDEX(MarketingVariances[],ROW()-ROW(MarketingVariances[[#Headers],[מאי]]),1),INDEX(MarketingPlan[],,1),0),MATCH(MarketingVariances[[#Headers],[מאי]],MarketingPlan[#Headers],0))-INDEX(MarketingActual[],MATCH(INDEX(MarketingVariances[],ROW()-ROW(MarketingVariances[[#Headers],[מאי]]),1),INDEX(MarketingPlan[],,1),0),MATCH(MarketingVariances[[#Headers],[מאי]],MarketingActual[#Headers],0))</f>
        <v>0</v>
      </c>
      <c r="H24" s="103">
        <f>INDEX(MarketingPlan[],MATCH(INDEX(MarketingVariances[],ROW()-ROW(MarketingVariances[[#Headers],[יונ]]),1),INDEX(MarketingPlan[],,1),0),MATCH(MarketingVariances[[#Headers],[יונ]],MarketingPlan[#Headers],0))-INDEX(MarketingActual[],MATCH(INDEX(MarketingVariances[],ROW()-ROW(MarketingVariances[[#Headers],[יונ]]),1),INDEX(MarketingPlan[],,1),0),MATCH(MarketingVariances[[#Headers],[יונ]],MarketingActual[#Headers],0))</f>
        <v>0</v>
      </c>
      <c r="I24" s="103">
        <f>INDEX(MarketingPlan[],MATCH(INDEX(MarketingVariances[],ROW()-ROW(MarketingVariances[[#Headers],[יול]]),1),INDEX(MarketingPlan[],,1),0),MATCH(MarketingVariances[[#Headers],[יול]],MarketingPlan[#Headers],0))-INDEX(MarketingActual[],MATCH(INDEX(MarketingVariances[],ROW()-ROW(MarketingVariances[[#Headers],[יול]]),1),INDEX(MarketingPlan[],,1),0),MATCH(MarketingVariances[[#Headers],[יול]],MarketingActual[#Headers],0))</f>
        <v>5000</v>
      </c>
      <c r="J24" s="103">
        <f>INDEX(MarketingPlan[],MATCH(INDEX(MarketingVariances[],ROW()-ROW(MarketingVariances[[#Headers],[אוג]]),1),INDEX(MarketingPlan[],,1),0),MATCH(MarketingVariances[[#Headers],[אוג]],MarketingPlan[#Headers],0))-INDEX(MarketingActual[],MATCH(INDEX(MarketingVariances[],ROW()-ROW(MarketingVariances[[#Headers],[אוג]]),1),INDEX(MarketingPlan[],,1),0),MATCH(MarketingVariances[[#Headers],[אוג]],MarketingActual[#Headers],0))</f>
        <v>0</v>
      </c>
      <c r="K24" s="103">
        <f>INDEX(MarketingPlan[],MATCH(INDEX(MarketingVariances[],ROW()-ROW(MarketingVariances[[#Headers],[ספט]]),1),INDEX(MarketingPlan[],,1),0),MATCH(MarketingVariances[[#Headers],[ספט]],MarketingPlan[#Headers],0))-INDEX(MarketingActual[],MATCH(INDEX(MarketingVariances[],ROW()-ROW(MarketingVariances[[#Headers],[ספט]]),1),INDEX(MarketingPlan[],,1),0),MATCH(MarketingVariances[[#Headers],[ספט]],MarketingActual[#Headers],0))</f>
        <v>0</v>
      </c>
      <c r="L24" s="103">
        <f>INDEX(MarketingPlan[],MATCH(INDEX(MarketingVariances[],ROW()-ROW(MarketingVariances[[#Headers],[אוק]]),1),INDEX(MarketingPlan[],,1),0),MATCH(MarketingVariances[[#Headers],[אוק]],MarketingPlan[#Headers],0))-INDEX(MarketingActual[],MATCH(INDEX(MarketingVariances[],ROW()-ROW(MarketingVariances[[#Headers],[אוק]]),1),INDEX(MarketingPlan[],,1),0),MATCH(MarketingVariances[[#Headers],[אוק]],MarketingActual[#Headers],0))</f>
        <v>5000</v>
      </c>
      <c r="M24" s="103">
        <f>INDEX(MarketingPlan[],MATCH(INDEX(MarketingVariances[],ROW()-ROW(MarketingVariances[[#Headers],[נוב]]),1),INDEX(MarketingPlan[],,1),0),MATCH(MarketingVariances[[#Headers],[נוב]],MarketingPlan[#Headers],0))-INDEX(MarketingActual[],MATCH(INDEX(MarketingVariances[],ROW()-ROW(MarketingVariances[[#Headers],[נוב]]),1),INDEX(MarketingPlan[],,1),0),MATCH(MarketingVariances[[#Headers],[נוב]],MarketingActual[#Headers],0))</f>
        <v>0</v>
      </c>
      <c r="N24" s="103">
        <f>INDEX(MarketingPlan[],MATCH(INDEX(MarketingVariances[],ROW()-ROW(MarketingVariances[[#Headers],[דצמ]]),1),INDEX(MarketingPlan[],,1),0),MATCH(MarketingVariances[[#Headers],[דצמ]],MarketingPlan[#Headers],0))-INDEX(MarketingActual[],MATCH(INDEX(MarketingVariances[],ROW()-ROW(MarketingVariances[[#Headers],[דצמ]]),1),INDEX(MarketingPlan[],,1),0),MATCH(MarketingVariances[[#Headers],[דצמ]],MarketingActual[#Headers],0))</f>
        <v>0</v>
      </c>
      <c r="O24" s="104">
        <f>SUM(MarketingVariances[[#This Row],[ינו]:[דצמ]])</f>
        <v>9700</v>
      </c>
      <c r="P24" s="22"/>
    </row>
    <row r="25" spans="1:16" ht="24.95" customHeight="1" thickBot="1" x14ac:dyDescent="0.3">
      <c r="A25" s="17"/>
      <c r="B25" s="42" t="s">
        <v>27</v>
      </c>
      <c r="C25" s="103">
        <f>INDEX(MarketingPlan[],MATCH(INDEX(MarketingVariances[],ROW()-ROW(MarketingVariances[[#Headers],[ינו]]),1),INDEX(MarketingPlan[],,1),0),MATCH(MarketingVariances[[#Headers],[ינו]],MarketingPlan[#Headers],0))-INDEX(MarketingActual[],MATCH(INDEX(MarketingVariances[],ROW()-ROW(MarketingVariances[[#Headers],[ינו]]),1),INDEX(MarketingPlan[],,1),0),MATCH(MarketingVariances[[#Headers],[ינו]],MarketingActual[#Headers],0))</f>
        <v>100</v>
      </c>
      <c r="D25" s="103">
        <f>INDEX(MarketingPlan[],MATCH(INDEX(MarketingVariances[],ROW()-ROW(MarketingVariances[[#Headers],[פבר]]),1),INDEX(MarketingPlan[],,1),0),MATCH(MarketingVariances[[#Headers],[פבר]],MarketingPlan[#Headers],0))-INDEX(MarketingActual[],MATCH(INDEX(MarketingVariances[],ROW()-ROW(MarketingVariances[[#Headers],[פבר]]),1),INDEX(MarketingPlan[],,1),0),MATCH(MarketingVariances[[#Headers],[פבר]],MarketingActual[#Headers],0))</f>
        <v>-300</v>
      </c>
      <c r="E25" s="103">
        <f>INDEX(MarketingPlan[],MATCH(INDEX(MarketingVariances[],ROW()-ROW(MarketingVariances[[#Headers],[מרץ]]),1),INDEX(MarketingPlan[],,1),0),MATCH(MarketingVariances[[#Headers],[מרץ]],MarketingPlan[#Headers],0))-INDEX(MarketingActual[],MATCH(INDEX(MarketingVariances[],ROW()-ROW(MarketingVariances[[#Headers],[מרץ]]),1),INDEX(MarketingPlan[],,1),0),MATCH(MarketingVariances[[#Headers],[מרץ]],MarketingActual[#Headers],0))</f>
        <v>100</v>
      </c>
      <c r="F25" s="103">
        <f>INDEX(MarketingPlan[],MATCH(INDEX(MarketingVariances[],ROW()-ROW(MarketingVariances[[#Headers],[אפר]]),1),INDEX(MarketingPlan[],,1),0),MATCH(MarketingVariances[[#Headers],[אפר]],MarketingPlan[#Headers],0))-INDEX(MarketingActual[],MATCH(INDEX(MarketingVariances[],ROW()-ROW(MarketingVariances[[#Headers],[אפר]]),1),INDEX(MarketingPlan[],,1),0),MATCH(MarketingVariances[[#Headers],[אפר]],MarketingActual[#Headers],0))</f>
        <v>100</v>
      </c>
      <c r="G25" s="103">
        <f>INDEX(MarketingPlan[],MATCH(INDEX(MarketingVariances[],ROW()-ROW(MarketingVariances[[#Headers],[מאי]]),1),INDEX(MarketingPlan[],,1),0),MATCH(MarketingVariances[[#Headers],[מאי]],MarketingPlan[#Headers],0))-INDEX(MarketingActual[],MATCH(INDEX(MarketingVariances[],ROW()-ROW(MarketingVariances[[#Headers],[מאי]]),1),INDEX(MarketingPlan[],,1),0),MATCH(MarketingVariances[[#Headers],[מאי]],MarketingActual[#Headers],0))</f>
        <v>-400</v>
      </c>
      <c r="H25" s="103">
        <f>INDEX(MarketingPlan[],MATCH(INDEX(MarketingVariances[],ROW()-ROW(MarketingVariances[[#Headers],[יונ]]),1),INDEX(MarketingPlan[],,1),0),MATCH(MarketingVariances[[#Headers],[יונ]],MarketingPlan[#Headers],0))-INDEX(MarketingActual[],MATCH(INDEX(MarketingVariances[],ROW()-ROW(MarketingVariances[[#Headers],[יונ]]),1),INDEX(MarketingPlan[],,1),0),MATCH(MarketingVariances[[#Headers],[יונ]],MarketingActual[#Headers],0))</f>
        <v>20</v>
      </c>
      <c r="I25" s="103">
        <f>INDEX(MarketingPlan[],MATCH(INDEX(MarketingVariances[],ROW()-ROW(MarketingVariances[[#Headers],[יול]]),1),INDEX(MarketingPlan[],,1),0),MATCH(MarketingVariances[[#Headers],[יול]],MarketingPlan[#Headers],0))-INDEX(MarketingActual[],MATCH(INDEX(MarketingVariances[],ROW()-ROW(MarketingVariances[[#Headers],[יול]]),1),INDEX(MarketingPlan[],,1),0),MATCH(MarketingVariances[[#Headers],[יול]],MarketingActual[#Headers],0))</f>
        <v>200</v>
      </c>
      <c r="J25" s="103">
        <f>INDEX(MarketingPlan[],MATCH(INDEX(MarketingVariances[],ROW()-ROW(MarketingVariances[[#Headers],[אוג]]),1),INDEX(MarketingPlan[],,1),0),MATCH(MarketingVariances[[#Headers],[אוג]],MarketingPlan[#Headers],0))-INDEX(MarketingActual[],MATCH(INDEX(MarketingVariances[],ROW()-ROW(MarketingVariances[[#Headers],[אוג]]),1),INDEX(MarketingPlan[],,1),0),MATCH(MarketingVariances[[#Headers],[אוג]],MarketingActual[#Headers],0))</f>
        <v>200</v>
      </c>
      <c r="K25" s="103">
        <f>INDEX(MarketingPlan[],MATCH(INDEX(MarketingVariances[],ROW()-ROW(MarketingVariances[[#Headers],[ספט]]),1),INDEX(MarketingPlan[],,1),0),MATCH(MarketingVariances[[#Headers],[ספט]],MarketingPlan[#Headers],0))-INDEX(MarketingActual[],MATCH(INDEX(MarketingVariances[],ROW()-ROW(MarketingVariances[[#Headers],[ספט]]),1),INDEX(MarketingPlan[],,1),0),MATCH(MarketingVariances[[#Headers],[ספט]],MarketingActual[#Headers],0))</f>
        <v>200</v>
      </c>
      <c r="L25" s="103">
        <f>INDEX(MarketingPlan[],MATCH(INDEX(MarketingVariances[],ROW()-ROW(MarketingVariances[[#Headers],[אוק]]),1),INDEX(MarketingPlan[],,1),0),MATCH(MarketingVariances[[#Headers],[אוק]],MarketingPlan[#Headers],0))-INDEX(MarketingActual[],MATCH(INDEX(MarketingVariances[],ROW()-ROW(MarketingVariances[[#Headers],[אוק]]),1),INDEX(MarketingPlan[],,1),0),MATCH(MarketingVariances[[#Headers],[אוק]],MarketingActual[#Headers],0))</f>
        <v>200</v>
      </c>
      <c r="M25" s="103">
        <f>INDEX(MarketingPlan[],MATCH(INDEX(MarketingVariances[],ROW()-ROW(MarketingVariances[[#Headers],[נוב]]),1),INDEX(MarketingPlan[],,1),0),MATCH(MarketingVariances[[#Headers],[נוב]],MarketingPlan[#Headers],0))-INDEX(MarketingActual[],MATCH(INDEX(MarketingVariances[],ROW()-ROW(MarketingVariances[[#Headers],[נוב]]),1),INDEX(MarketingPlan[],,1),0),MATCH(MarketingVariances[[#Headers],[נוב]],MarketingActual[#Headers],0))</f>
        <v>200</v>
      </c>
      <c r="N25" s="103">
        <f>INDEX(MarketingPlan[],MATCH(INDEX(MarketingVariances[],ROW()-ROW(MarketingVariances[[#Headers],[דצמ]]),1),INDEX(MarketingPlan[],,1),0),MATCH(MarketingVariances[[#Headers],[דצמ]],MarketingPlan[#Headers],0))-INDEX(MarketingActual[],MATCH(INDEX(MarketingVariances[],ROW()-ROW(MarketingVariances[[#Headers],[דצמ]]),1),INDEX(MarketingPlan[],,1),0),MATCH(MarketingVariances[[#Headers],[דצמ]],MarketingActual[#Headers],0))</f>
        <v>200</v>
      </c>
      <c r="O25" s="104">
        <f>SUM(MarketingVariances[[#This Row],[ינו]:[דצמ]])</f>
        <v>820</v>
      </c>
      <c r="P25" s="22"/>
    </row>
    <row r="26" spans="1:16" ht="24.95" customHeight="1" thickBot="1" x14ac:dyDescent="0.3">
      <c r="A26" s="17"/>
      <c r="B26" s="42" t="s">
        <v>28</v>
      </c>
      <c r="C26" s="103">
        <f>INDEX(MarketingPlan[],MATCH(INDEX(MarketingVariances[],ROW()-ROW(MarketingVariances[[#Headers],[ינו]]),1),INDEX(MarketingPlan[],,1),0),MATCH(MarketingVariances[[#Headers],[ינו]],MarketingPlan[#Headers],0))-INDEX(MarketingActual[],MATCH(INDEX(MarketingVariances[],ROW()-ROW(MarketingVariances[[#Headers],[ינו]]),1),INDEX(MarketingPlan[],,1),0),MATCH(MarketingVariances[[#Headers],[ינו]],MarketingActual[#Headers],0))</f>
        <v>200</v>
      </c>
      <c r="D26" s="103">
        <f>INDEX(MarketingPlan[],MATCH(INDEX(MarketingVariances[],ROW()-ROW(MarketingVariances[[#Headers],[פבר]]),1),INDEX(MarketingPlan[],,1),0),MATCH(MarketingVariances[[#Headers],[פבר]],MarketingPlan[#Headers],0))-INDEX(MarketingActual[],MATCH(INDEX(MarketingVariances[],ROW()-ROW(MarketingVariances[[#Headers],[פבר]]),1),INDEX(MarketingPlan[],,1),0),MATCH(MarketingVariances[[#Headers],[פבר]],MarketingActual[#Headers],0))</f>
        <v>-200</v>
      </c>
      <c r="E26" s="103">
        <f>INDEX(MarketingPlan[],MATCH(INDEX(MarketingVariances[],ROW()-ROW(MarketingVariances[[#Headers],[מרץ]]),1),INDEX(MarketingPlan[],,1),0),MATCH(MarketingVariances[[#Headers],[מרץ]],MarketingPlan[#Headers],0))-INDEX(MarketingActual[],MATCH(INDEX(MarketingVariances[],ROW()-ROW(MarketingVariances[[#Headers],[מרץ]]),1),INDEX(MarketingPlan[],,1),0),MATCH(MarketingVariances[[#Headers],[מרץ]],MarketingActual[#Headers],0))</f>
        <v>-200</v>
      </c>
      <c r="F26" s="103">
        <f>INDEX(MarketingPlan[],MATCH(INDEX(MarketingVariances[],ROW()-ROW(MarketingVariances[[#Headers],[אפר]]),1),INDEX(MarketingPlan[],,1),0),MATCH(MarketingVariances[[#Headers],[אפר]],MarketingPlan[#Headers],0))-INDEX(MarketingActual[],MATCH(INDEX(MarketingVariances[],ROW()-ROW(MarketingVariances[[#Headers],[אפר]]),1),INDEX(MarketingPlan[],,1),0),MATCH(MarketingVariances[[#Headers],[אפר]],MarketingActual[#Headers],0))</f>
        <v>300</v>
      </c>
      <c r="G26" s="103">
        <f>INDEX(MarketingPlan[],MATCH(INDEX(MarketingVariances[],ROW()-ROW(MarketingVariances[[#Headers],[מאי]]),1),INDEX(MarketingPlan[],,1),0),MATCH(MarketingVariances[[#Headers],[מאי]],MarketingPlan[#Headers],0))-INDEX(MarketingActual[],MATCH(INDEX(MarketingVariances[],ROW()-ROW(MarketingVariances[[#Headers],[מאי]]),1),INDEX(MarketingPlan[],,1),0),MATCH(MarketingVariances[[#Headers],[מאי]],MarketingActual[#Headers],0))</f>
        <v>500</v>
      </c>
      <c r="H26" s="103">
        <f>INDEX(MarketingPlan[],MATCH(INDEX(MarketingVariances[],ROW()-ROW(MarketingVariances[[#Headers],[יונ]]),1),INDEX(MarketingPlan[],,1),0),MATCH(MarketingVariances[[#Headers],[יונ]],MarketingPlan[#Headers],0))-INDEX(MarketingActual[],MATCH(INDEX(MarketingVariances[],ROW()-ROW(MarketingVariances[[#Headers],[יונ]]),1),INDEX(MarketingPlan[],,1),0),MATCH(MarketingVariances[[#Headers],[יונ]],MarketingActual[#Headers],0))</f>
        <v>-300</v>
      </c>
      <c r="I26" s="103">
        <f>INDEX(MarketingPlan[],MATCH(INDEX(MarketingVariances[],ROW()-ROW(MarketingVariances[[#Headers],[יול]]),1),INDEX(MarketingPlan[],,1),0),MATCH(MarketingVariances[[#Headers],[יול]],MarketingPlan[#Headers],0))-INDEX(MarketingActual[],MATCH(INDEX(MarketingVariances[],ROW()-ROW(MarketingVariances[[#Headers],[יול]]),1),INDEX(MarketingPlan[],,1),0),MATCH(MarketingVariances[[#Headers],[יול]],MarketingActual[#Headers],0))</f>
        <v>2000</v>
      </c>
      <c r="J26" s="103">
        <f>INDEX(MarketingPlan[],MATCH(INDEX(MarketingVariances[],ROW()-ROW(MarketingVariances[[#Headers],[אוג]]),1),INDEX(MarketingPlan[],,1),0),MATCH(MarketingVariances[[#Headers],[אוג]],MarketingPlan[#Headers],0))-INDEX(MarketingActual[],MATCH(INDEX(MarketingVariances[],ROW()-ROW(MarketingVariances[[#Headers],[אוג]]),1),INDEX(MarketingPlan[],,1),0),MATCH(MarketingVariances[[#Headers],[אוג]],MarketingActual[#Headers],0))</f>
        <v>5000</v>
      </c>
      <c r="K26" s="103">
        <f>INDEX(MarketingPlan[],MATCH(INDEX(MarketingVariances[],ROW()-ROW(MarketingVariances[[#Headers],[ספט]]),1),INDEX(MarketingPlan[],,1),0),MATCH(MarketingVariances[[#Headers],[ספט]],MarketingPlan[#Headers],0))-INDEX(MarketingActual[],MATCH(INDEX(MarketingVariances[],ROW()-ROW(MarketingVariances[[#Headers],[ספט]]),1),INDEX(MarketingPlan[],,1),0),MATCH(MarketingVariances[[#Headers],[ספט]],MarketingActual[#Headers],0))</f>
        <v>2000</v>
      </c>
      <c r="L26" s="103">
        <f>INDEX(MarketingPlan[],MATCH(INDEX(MarketingVariances[],ROW()-ROW(MarketingVariances[[#Headers],[אוק]]),1),INDEX(MarketingPlan[],,1),0),MATCH(MarketingVariances[[#Headers],[אוק]],MarketingPlan[#Headers],0))-INDEX(MarketingActual[],MATCH(INDEX(MarketingVariances[],ROW()-ROW(MarketingVariances[[#Headers],[אוק]]),1),INDEX(MarketingPlan[],,1),0),MATCH(MarketingVariances[[#Headers],[אוק]],MarketingActual[#Headers],0))</f>
        <v>2000</v>
      </c>
      <c r="M26" s="103">
        <f>INDEX(MarketingPlan[],MATCH(INDEX(MarketingVariances[],ROW()-ROW(MarketingVariances[[#Headers],[נוב]]),1),INDEX(MarketingPlan[],,1),0),MATCH(MarketingVariances[[#Headers],[נוב]],MarketingPlan[#Headers],0))-INDEX(MarketingActual[],MATCH(INDEX(MarketingVariances[],ROW()-ROW(MarketingVariances[[#Headers],[נוב]]),1),INDEX(MarketingPlan[],,1),0),MATCH(MarketingVariances[[#Headers],[נוב]],MarketingActual[#Headers],0))</f>
        <v>2000</v>
      </c>
      <c r="N26" s="103">
        <f>INDEX(MarketingPlan[],MATCH(INDEX(MarketingVariances[],ROW()-ROW(MarketingVariances[[#Headers],[דצמ]]),1),INDEX(MarketingPlan[],,1),0),MATCH(MarketingVariances[[#Headers],[דצמ]],MarketingPlan[#Headers],0))-INDEX(MarketingActual[],MATCH(INDEX(MarketingVariances[],ROW()-ROW(MarketingVariances[[#Headers],[דצמ]]),1),INDEX(MarketingPlan[],,1),0),MATCH(MarketingVariances[[#Headers],[דצמ]],MarketingActual[#Headers],0))</f>
        <v>5000</v>
      </c>
      <c r="O26" s="104">
        <f>SUM(MarketingVariances[[#This Row],[ינו]:[דצמ]])</f>
        <v>18300</v>
      </c>
      <c r="P26" s="22"/>
    </row>
    <row r="27" spans="1:16" ht="24.95" customHeight="1" thickBot="1" x14ac:dyDescent="0.3">
      <c r="A27" s="17"/>
      <c r="B27" s="42" t="s">
        <v>29</v>
      </c>
      <c r="C27" s="103">
        <f>INDEX(MarketingPlan[],MATCH(INDEX(MarketingVariances[],ROW()-ROW(MarketingVariances[[#Headers],[ינו]]),1),INDEX(MarketingPlan[],,1),0),MATCH(MarketingVariances[[#Headers],[ינו]],MarketingPlan[#Headers],0))-INDEX(MarketingActual[],MATCH(INDEX(MarketingVariances[],ROW()-ROW(MarketingVariances[[#Headers],[ינו]]),1),INDEX(MarketingPlan[],,1),0),MATCH(MarketingVariances[[#Headers],[ינו]],MarketingActual[#Headers],0))</f>
        <v>55</v>
      </c>
      <c r="D27" s="103">
        <f>INDEX(MarketingPlan[],MATCH(INDEX(MarketingVariances[],ROW()-ROW(MarketingVariances[[#Headers],[פבר]]),1),INDEX(MarketingPlan[],,1),0),MATCH(MarketingVariances[[#Headers],[פבר]],MarketingPlan[#Headers],0))-INDEX(MarketingActual[],MATCH(INDEX(MarketingVariances[],ROW()-ROW(MarketingVariances[[#Headers],[פבר]]),1),INDEX(MarketingPlan[],,1),0),MATCH(MarketingVariances[[#Headers],[פבר]],MarketingActual[#Headers],0))</f>
        <v>44</v>
      </c>
      <c r="E27" s="103">
        <f>INDEX(MarketingPlan[],MATCH(INDEX(MarketingVariances[],ROW()-ROW(MarketingVariances[[#Headers],[מרץ]]),1),INDEX(MarketingPlan[],,1),0),MATCH(MarketingVariances[[#Headers],[מרץ]],MarketingPlan[#Headers],0))-INDEX(MarketingActual[],MATCH(INDEX(MarketingVariances[],ROW()-ROW(MarketingVariances[[#Headers],[מרץ]]),1),INDEX(MarketingPlan[],,1),0),MATCH(MarketingVariances[[#Headers],[מרץ]],MarketingActual[#Headers],0))</f>
        <v>77</v>
      </c>
      <c r="F27" s="103">
        <f>INDEX(MarketingPlan[],MATCH(INDEX(MarketingVariances[],ROW()-ROW(MarketingVariances[[#Headers],[אפר]]),1),INDEX(MarketingPlan[],,1),0),MATCH(MarketingVariances[[#Headers],[אפר]],MarketingPlan[#Headers],0))-INDEX(MarketingActual[],MATCH(INDEX(MarketingVariances[],ROW()-ROW(MarketingVariances[[#Headers],[אפר]]),1),INDEX(MarketingPlan[],,1),0),MATCH(MarketingVariances[[#Headers],[אפר]],MarketingActual[#Headers],0))</f>
        <v>-23</v>
      </c>
      <c r="G27" s="103">
        <f>INDEX(MarketingPlan[],MATCH(INDEX(MarketingVariances[],ROW()-ROW(MarketingVariances[[#Headers],[מאי]]),1),INDEX(MarketingPlan[],,1),0),MATCH(MarketingVariances[[#Headers],[מאי]],MarketingPlan[#Headers],0))-INDEX(MarketingActual[],MATCH(INDEX(MarketingVariances[],ROW()-ROW(MarketingVariances[[#Headers],[מאי]]),1),INDEX(MarketingPlan[],,1),0),MATCH(MarketingVariances[[#Headers],[מאי]],MarketingActual[#Headers],0))</f>
        <v>13</v>
      </c>
      <c r="H27" s="103">
        <f>INDEX(MarketingPlan[],MATCH(INDEX(MarketingVariances[],ROW()-ROW(MarketingVariances[[#Headers],[יונ]]),1),INDEX(MarketingPlan[],,1),0),MATCH(MarketingVariances[[#Headers],[יונ]],MarketingPlan[#Headers],0))-INDEX(MarketingActual[],MATCH(INDEX(MarketingVariances[],ROW()-ROW(MarketingVariances[[#Headers],[יונ]]),1),INDEX(MarketingPlan[],,1),0),MATCH(MarketingVariances[[#Headers],[יונ]],MarketingActual[#Headers],0))</f>
        <v>-45</v>
      </c>
      <c r="I27" s="103">
        <f>INDEX(MarketingPlan[],MATCH(INDEX(MarketingVariances[],ROW()-ROW(MarketingVariances[[#Headers],[יול]]),1),INDEX(MarketingPlan[],,1),0),MATCH(MarketingVariances[[#Headers],[יול]],MarketingPlan[#Headers],0))-INDEX(MarketingActual[],MATCH(INDEX(MarketingVariances[],ROW()-ROW(MarketingVariances[[#Headers],[יול]]),1),INDEX(MarketingPlan[],,1),0),MATCH(MarketingVariances[[#Headers],[יול]],MarketingActual[#Headers],0))</f>
        <v>200</v>
      </c>
      <c r="J27" s="103">
        <f>INDEX(MarketingPlan[],MATCH(INDEX(MarketingVariances[],ROW()-ROW(MarketingVariances[[#Headers],[אוג]]),1),INDEX(MarketingPlan[],,1),0),MATCH(MarketingVariances[[#Headers],[אוג]],MarketingPlan[#Headers],0))-INDEX(MarketingActual[],MATCH(INDEX(MarketingVariances[],ROW()-ROW(MarketingVariances[[#Headers],[אוג]]),1),INDEX(MarketingPlan[],,1),0),MATCH(MarketingVariances[[#Headers],[אוג]],MarketingActual[#Headers],0))</f>
        <v>200</v>
      </c>
      <c r="K27" s="103">
        <f>INDEX(MarketingPlan[],MATCH(INDEX(MarketingVariances[],ROW()-ROW(MarketingVariances[[#Headers],[ספט]]),1),INDEX(MarketingPlan[],,1),0),MATCH(MarketingVariances[[#Headers],[ספט]],MarketingPlan[#Headers],0))-INDEX(MarketingActual[],MATCH(INDEX(MarketingVariances[],ROW()-ROW(MarketingVariances[[#Headers],[ספט]]),1),INDEX(MarketingPlan[],,1),0),MATCH(MarketingVariances[[#Headers],[ספט]],MarketingActual[#Headers],0))</f>
        <v>200</v>
      </c>
      <c r="L27" s="103">
        <f>INDEX(MarketingPlan[],MATCH(INDEX(MarketingVariances[],ROW()-ROW(MarketingVariances[[#Headers],[אוק]]),1),INDEX(MarketingPlan[],,1),0),MATCH(MarketingVariances[[#Headers],[אוק]],MarketingPlan[#Headers],0))-INDEX(MarketingActual[],MATCH(INDEX(MarketingVariances[],ROW()-ROW(MarketingVariances[[#Headers],[אוק]]),1),INDEX(MarketingPlan[],,1),0),MATCH(MarketingVariances[[#Headers],[אוק]],MarketingActual[#Headers],0))</f>
        <v>200</v>
      </c>
      <c r="M27" s="103">
        <f>INDEX(MarketingPlan[],MATCH(INDEX(MarketingVariances[],ROW()-ROW(MarketingVariances[[#Headers],[נוב]]),1),INDEX(MarketingPlan[],,1),0),MATCH(MarketingVariances[[#Headers],[נוב]],MarketingPlan[#Headers],0))-INDEX(MarketingActual[],MATCH(INDEX(MarketingVariances[],ROW()-ROW(MarketingVariances[[#Headers],[נוב]]),1),INDEX(MarketingPlan[],,1),0),MATCH(MarketingVariances[[#Headers],[נוב]],MarketingActual[#Headers],0))</f>
        <v>200</v>
      </c>
      <c r="N27" s="103">
        <f>INDEX(MarketingPlan[],MATCH(INDEX(MarketingVariances[],ROW()-ROW(MarketingVariances[[#Headers],[דצמ]]),1),INDEX(MarketingPlan[],,1),0),MATCH(MarketingVariances[[#Headers],[דצמ]],MarketingPlan[#Headers],0))-INDEX(MarketingActual[],MATCH(INDEX(MarketingVariances[],ROW()-ROW(MarketingVariances[[#Headers],[דצמ]]),1),INDEX(MarketingPlan[],,1),0),MATCH(MarketingVariances[[#Headers],[דצמ]],MarketingActual[#Headers],0))</f>
        <v>200</v>
      </c>
      <c r="O27" s="104">
        <f>SUM(MarketingVariances[[#This Row],[ינו]:[דצמ]])</f>
        <v>1321</v>
      </c>
      <c r="P27" s="22"/>
    </row>
    <row r="28" spans="1:16" ht="24.95" customHeight="1" x14ac:dyDescent="0.25">
      <c r="A28" s="17"/>
      <c r="B28" s="52" t="s">
        <v>13</v>
      </c>
      <c r="C28" s="105">
        <f>SUBTOTAL(109,MarketingVariances[ינו])</f>
        <v>555</v>
      </c>
      <c r="D28" s="105">
        <f>SUBTOTAL(109,MarketingVariances[פבר])</f>
        <v>-456</v>
      </c>
      <c r="E28" s="105">
        <f>SUBTOTAL(109,MarketingVariances[מרץ])</f>
        <v>-23</v>
      </c>
      <c r="F28" s="105">
        <f>SUBTOTAL(109,MarketingVariances[אפר])</f>
        <v>-123</v>
      </c>
      <c r="G28" s="105">
        <f>SUBTOTAL(109,MarketingVariances[מאי])</f>
        <v>113</v>
      </c>
      <c r="H28" s="105">
        <f>SUBTOTAL(109,MarketingVariances[יונ])</f>
        <v>-825</v>
      </c>
      <c r="I28" s="105">
        <f>SUBTOTAL(109,MarketingVariances[יול])</f>
        <v>8100</v>
      </c>
      <c r="J28" s="105">
        <f>SUBTOTAL(109,MarketingVariances[אוג])</f>
        <v>6100</v>
      </c>
      <c r="K28" s="105">
        <f>SUBTOTAL(109,MarketingVariances[ספט])</f>
        <v>3100</v>
      </c>
      <c r="L28" s="105">
        <f>SUBTOTAL(109,MarketingVariances[אוק])</f>
        <v>8100</v>
      </c>
      <c r="M28" s="105">
        <f>SUBTOTAL(109,MarketingVariances[נוב])</f>
        <v>3100</v>
      </c>
      <c r="N28" s="105">
        <f>SUBTOTAL(109,MarketingVariances[דצמ])</f>
        <v>6900</v>
      </c>
      <c r="O28" s="106">
        <f>SUBTOTAL(109,MarketingVariances[שנה])</f>
        <v>34641</v>
      </c>
      <c r="P28" s="22"/>
    </row>
    <row r="29" spans="1:16" ht="21" customHeight="1" x14ac:dyDescent="0.25">
      <c r="A29" s="17"/>
      <c r="B29" s="25"/>
      <c r="C29" s="25"/>
      <c r="D29" s="79"/>
      <c r="E29" s="79"/>
      <c r="F29" s="79"/>
      <c r="G29" s="79"/>
      <c r="H29" s="79"/>
      <c r="I29" s="79"/>
      <c r="J29" s="79"/>
      <c r="K29" s="79"/>
      <c r="L29" s="79"/>
      <c r="M29" s="79"/>
      <c r="N29" s="79"/>
      <c r="O29" s="75"/>
      <c r="P29" s="22"/>
    </row>
    <row r="30" spans="1:16" ht="24.95" customHeight="1" thickBot="1" x14ac:dyDescent="0.3">
      <c r="A30" s="17"/>
      <c r="B30" s="32" t="s">
        <v>30</v>
      </c>
      <c r="C30" s="80" t="s">
        <v>36</v>
      </c>
      <c r="D30" s="80" t="s">
        <v>37</v>
      </c>
      <c r="E30" s="80" t="s">
        <v>38</v>
      </c>
      <c r="F30" s="80" t="s">
        <v>39</v>
      </c>
      <c r="G30" s="80" t="s">
        <v>40</v>
      </c>
      <c r="H30" s="80" t="s">
        <v>41</v>
      </c>
      <c r="I30" s="80" t="s">
        <v>42</v>
      </c>
      <c r="J30" s="80" t="s">
        <v>43</v>
      </c>
      <c r="K30" s="80" t="s">
        <v>46</v>
      </c>
      <c r="L30" s="80" t="s">
        <v>47</v>
      </c>
      <c r="M30" s="80" t="s">
        <v>48</v>
      </c>
      <c r="N30" s="80" t="s">
        <v>49</v>
      </c>
      <c r="O30" s="81" t="s">
        <v>50</v>
      </c>
      <c r="P30" s="22"/>
    </row>
    <row r="31" spans="1:16" ht="24.95" customHeight="1" thickBot="1" x14ac:dyDescent="0.3">
      <c r="A31" s="17"/>
      <c r="B31" s="42" t="s">
        <v>31</v>
      </c>
      <c r="C31" s="103">
        <f>INDEX(TrainingAndTravelPlan[],MATCH(INDEX(TrainingAndTravelVariances[],ROW()-ROW(TrainingAndTravelVariances[[#Headers],[ינו]]),1),INDEX(TrainingAndTravelPlan[],,1),0),MATCH(TrainingAndTravelVariances[[#Headers],[ינו]],TrainingAndTravelPlan[#Headers],0))-INDEX(TrainingAndTravelActual[],MATCH(INDEX(TrainingAndTravelVariances[],ROW()-ROW(TrainingAndTravelVariances[[#Headers],[ינו]]),1),INDEX(TrainingAndTravelPlan[],,1),0),MATCH(TrainingAndTravelVariances[[#Headers],[ינו]],TrainingAndTravelActual[#Headers],0))</f>
        <v>400</v>
      </c>
      <c r="D31" s="103">
        <f>INDEX(TrainingAndTravelPlan[],MATCH(INDEX(TrainingAndTravelVariances[],ROW()-ROW(TrainingAndTravelVariances[[#Headers],[פבר]]),1),INDEX(TrainingAndTravelPlan[],,1),0),MATCH(TrainingAndTravelVariances[[#Headers],[פבר]],TrainingAndTravelPlan[#Headers],0))-INDEX(TrainingAndTravelActual[],MATCH(INDEX(TrainingAndTravelVariances[],ROW()-ROW(TrainingAndTravelVariances[[#Headers],[פבר]]),1),INDEX(TrainingAndTravelPlan[],,1),0),MATCH(TrainingAndTravelVariances[[#Headers],[פבר]],TrainingAndTravelActual[#Headers],0))</f>
        <v>-400</v>
      </c>
      <c r="E31" s="103">
        <f>INDEX(TrainingAndTravelPlan[],MATCH(INDEX(TrainingAndTravelVariances[],ROW()-ROW(TrainingAndTravelVariances[[#Headers],[מרץ]]),1),INDEX(TrainingAndTravelPlan[],,1),0),MATCH(TrainingAndTravelVariances[[#Headers],[מרץ]],TrainingAndTravelPlan[#Headers],0))-INDEX(TrainingAndTravelActual[],MATCH(INDEX(TrainingAndTravelVariances[],ROW()-ROW(TrainingAndTravelVariances[[#Headers],[מרץ]]),1),INDEX(TrainingAndTravelPlan[],,1),0),MATCH(TrainingAndTravelVariances[[#Headers],[מרץ]],TrainingAndTravelActual[#Headers],0))</f>
        <v>600</v>
      </c>
      <c r="F31" s="103">
        <f>INDEX(TrainingAndTravelPlan[],MATCH(INDEX(TrainingAndTravelVariances[],ROW()-ROW(TrainingAndTravelVariances[[#Headers],[אפר]]),1),INDEX(TrainingAndTravelPlan[],,1),0),MATCH(TrainingAndTravelVariances[[#Headers],[אפר]],TrainingAndTravelPlan[#Headers],0))-INDEX(TrainingAndTravelActual[],MATCH(INDEX(TrainingAndTravelVariances[],ROW()-ROW(TrainingAndTravelVariances[[#Headers],[אפר]]),1),INDEX(TrainingAndTravelPlan[],,1),0),MATCH(TrainingAndTravelVariances[[#Headers],[אפר]],TrainingAndTravelActual[#Headers],0))</f>
        <v>400</v>
      </c>
      <c r="G31" s="103">
        <f>INDEX(TrainingAndTravelPlan[],MATCH(INDEX(TrainingAndTravelVariances[],ROW()-ROW(TrainingAndTravelVariances[[#Headers],[מאי]]),1),INDEX(TrainingAndTravelPlan[],,1),0),MATCH(TrainingAndTravelVariances[[#Headers],[מאי]],TrainingAndTravelPlan[#Headers],0))-INDEX(TrainingAndTravelActual[],MATCH(INDEX(TrainingAndTravelVariances[],ROW()-ROW(TrainingAndTravelVariances[[#Headers],[מאי]]),1),INDEX(TrainingAndTravelPlan[],,1),0),MATCH(TrainingAndTravelVariances[[#Headers],[מאי]],TrainingAndTravelActual[#Headers],0))</f>
        <v>800</v>
      </c>
      <c r="H31" s="103">
        <f>INDEX(TrainingAndTravelPlan[],MATCH(INDEX(TrainingAndTravelVariances[],ROW()-ROW(TrainingAndTravelVariances[[#Headers],[יונ]]),1),INDEX(TrainingAndTravelPlan[],,1),0),MATCH(TrainingAndTravelVariances[[#Headers],[יונ]],TrainingAndTravelPlan[#Headers],0))-INDEX(TrainingAndTravelActual[],MATCH(INDEX(TrainingAndTravelVariances[],ROW()-ROW(TrainingAndTravelVariances[[#Headers],[יונ]]),1),INDEX(TrainingAndTravelPlan[],,1),0),MATCH(TrainingAndTravelVariances[[#Headers],[יונ]],TrainingAndTravelActual[#Headers],0))</f>
        <v>-800</v>
      </c>
      <c r="I31" s="103">
        <f>INDEX(TrainingAndTravelPlan[],MATCH(INDEX(TrainingAndTravelVariances[],ROW()-ROW(TrainingAndTravelVariances[[#Headers],[יול]]),1),INDEX(TrainingAndTravelPlan[],,1),0),MATCH(TrainingAndTravelVariances[[#Headers],[יול]],TrainingAndTravelPlan[#Headers],0))-INDEX(TrainingAndTravelActual[],MATCH(INDEX(TrainingAndTravelVariances[],ROW()-ROW(TrainingAndTravelVariances[[#Headers],[יול]]),1),INDEX(TrainingAndTravelPlan[],,1),0),MATCH(TrainingAndTravelVariances[[#Headers],[יול]],TrainingAndTravelActual[#Headers],0))</f>
        <v>2000</v>
      </c>
      <c r="J31" s="103">
        <f>INDEX(TrainingAndTravelPlan[],MATCH(INDEX(TrainingAndTravelVariances[],ROW()-ROW(TrainingAndTravelVariances[[#Headers],[אוג]]),1),INDEX(TrainingAndTravelPlan[],,1),0),MATCH(TrainingAndTravelVariances[[#Headers],[אוג]],TrainingAndTravelPlan[#Headers],0))-INDEX(TrainingAndTravelActual[],MATCH(INDEX(TrainingAndTravelVariances[],ROW()-ROW(TrainingAndTravelVariances[[#Headers],[אוג]]),1),INDEX(TrainingAndTravelPlan[],,1),0),MATCH(TrainingAndTravelVariances[[#Headers],[אוג]],TrainingAndTravelActual[#Headers],0))</f>
        <v>2000</v>
      </c>
      <c r="K31" s="103">
        <f>INDEX(TrainingAndTravelPlan[],MATCH(INDEX(TrainingAndTravelVariances[],ROW()-ROW(TrainingAndTravelVariances[[#Headers],[ספט]]),1),INDEX(TrainingAndTravelPlan[],,1),0),MATCH(TrainingAndTravelVariances[[#Headers],[ספט]],TrainingAndTravelPlan[#Headers],0))-INDEX(TrainingAndTravelActual[],MATCH(INDEX(TrainingAndTravelVariances[],ROW()-ROW(TrainingAndTravelVariances[[#Headers],[ספט]]),1),INDEX(TrainingAndTravelPlan[],,1),0),MATCH(TrainingAndTravelVariances[[#Headers],[ספט]],TrainingAndTravelActual[#Headers],0))</f>
        <v>2000</v>
      </c>
      <c r="L31" s="103">
        <f>INDEX(TrainingAndTravelPlan[],MATCH(INDEX(TrainingAndTravelVariances[],ROW()-ROW(TrainingAndTravelVariances[[#Headers],[אוק]]),1),INDEX(TrainingAndTravelPlan[],,1),0),MATCH(TrainingAndTravelVariances[[#Headers],[אוק]],TrainingAndTravelPlan[#Headers],0))-INDEX(TrainingAndTravelActual[],MATCH(INDEX(TrainingAndTravelVariances[],ROW()-ROW(TrainingAndTravelVariances[[#Headers],[אוק]]),1),INDEX(TrainingAndTravelPlan[],,1),0),MATCH(TrainingAndTravelVariances[[#Headers],[אוק]],TrainingAndTravelActual[#Headers],0))</f>
        <v>2000</v>
      </c>
      <c r="M31" s="103">
        <f>INDEX(TrainingAndTravelPlan[],MATCH(INDEX(TrainingAndTravelVariances[],ROW()-ROW(TrainingAndTravelVariances[[#Headers],[נוב]]),1),INDEX(TrainingAndTravelPlan[],,1),0),MATCH(TrainingAndTravelVariances[[#Headers],[נוב]],TrainingAndTravelPlan[#Headers],0))-INDEX(TrainingAndTravelActual[],MATCH(INDEX(TrainingAndTravelVariances[],ROW()-ROW(TrainingAndTravelVariances[[#Headers],[נוב]]),1),INDEX(TrainingAndTravelPlan[],,1),0),MATCH(TrainingAndTravelVariances[[#Headers],[נוב]],TrainingAndTravelActual[#Headers],0))</f>
        <v>2000</v>
      </c>
      <c r="N31" s="103">
        <f>INDEX(TrainingAndTravelPlan[],MATCH(INDEX(TrainingAndTravelVariances[],ROW()-ROW(TrainingAndTravelVariances[[#Headers],[דצמ]]),1),INDEX(TrainingAndTravelPlan[],,1),0),MATCH(TrainingAndTravelVariances[[#Headers],[דצמ]],TrainingAndTravelPlan[#Headers],0))-INDEX(TrainingAndTravelActual[],MATCH(INDEX(TrainingAndTravelVariances[],ROW()-ROW(TrainingAndTravelVariances[[#Headers],[דצמ]]),1),INDEX(TrainingAndTravelPlan[],,1),0),MATCH(TrainingAndTravelVariances[[#Headers],[דצמ]],TrainingAndTravelActual[#Headers],0))</f>
        <v>2000</v>
      </c>
      <c r="O31" s="104">
        <f>SUM(TrainingAndTravelVariances[[#This Row],[ינו]:[דצמ]])</f>
        <v>13000</v>
      </c>
      <c r="P31" s="22"/>
    </row>
    <row r="32" spans="1:16" ht="24.95" customHeight="1" thickBot="1" x14ac:dyDescent="0.3">
      <c r="A32" s="17"/>
      <c r="B32" s="42" t="s">
        <v>32</v>
      </c>
      <c r="C32" s="103">
        <f>INDEX(TrainingAndTravelPlan[],MATCH(INDEX(TrainingAndTravelVariances[],ROW()-ROW(TrainingAndTravelVariances[[#Headers],[ינו]]),1),INDEX(TrainingAndTravelPlan[],,1),0),MATCH(TrainingAndTravelVariances[[#Headers],[ינו]],TrainingAndTravelPlan[#Headers],0))-INDEX(TrainingAndTravelActual[],MATCH(INDEX(TrainingAndTravelVariances[],ROW()-ROW(TrainingAndTravelVariances[[#Headers],[ינו]]),1),INDEX(TrainingAndTravelPlan[],,1),0),MATCH(TrainingAndTravelVariances[[#Headers],[ינו]],TrainingAndTravelActual[#Headers],0))</f>
        <v>800</v>
      </c>
      <c r="D32" s="103">
        <f>INDEX(TrainingAndTravelPlan[],MATCH(INDEX(TrainingAndTravelVariances[],ROW()-ROW(TrainingAndTravelVariances[[#Headers],[פבר]]),1),INDEX(TrainingAndTravelPlan[],,1),0),MATCH(TrainingAndTravelVariances[[#Headers],[פבר]],TrainingAndTravelPlan[#Headers],0))-INDEX(TrainingAndTravelActual[],MATCH(INDEX(TrainingAndTravelVariances[],ROW()-ROW(TrainingAndTravelVariances[[#Headers],[פבר]]),1),INDEX(TrainingAndTravelPlan[],,1),0),MATCH(TrainingAndTravelVariances[[#Headers],[פבר]],TrainingAndTravelActual[#Headers],0))</f>
        <v>-200</v>
      </c>
      <c r="E32" s="103">
        <f>INDEX(TrainingAndTravelPlan[],MATCH(INDEX(TrainingAndTravelVariances[],ROW()-ROW(TrainingAndTravelVariances[[#Headers],[מרץ]]),1),INDEX(TrainingAndTravelPlan[],,1),0),MATCH(TrainingAndTravelVariances[[#Headers],[מרץ]],TrainingAndTravelPlan[#Headers],0))-INDEX(TrainingAndTravelActual[],MATCH(INDEX(TrainingAndTravelVariances[],ROW()-ROW(TrainingAndTravelVariances[[#Headers],[מרץ]]),1),INDEX(TrainingAndTravelPlan[],,1),0),MATCH(TrainingAndTravelVariances[[#Headers],[מרץ]],TrainingAndTravelActual[#Headers],0))</f>
        <v>600</v>
      </c>
      <c r="F32" s="103">
        <f>INDEX(TrainingAndTravelPlan[],MATCH(INDEX(TrainingAndTravelVariances[],ROW()-ROW(TrainingAndTravelVariances[[#Headers],[אפר]]),1),INDEX(TrainingAndTravelPlan[],,1),0),MATCH(TrainingAndTravelVariances[[#Headers],[אפר]],TrainingAndTravelPlan[#Headers],0))-INDEX(TrainingAndTravelActual[],MATCH(INDEX(TrainingAndTravelVariances[],ROW()-ROW(TrainingAndTravelVariances[[#Headers],[אפר]]),1),INDEX(TrainingAndTravelPlan[],,1),0),MATCH(TrainingAndTravelVariances[[#Headers],[אפר]],TrainingAndTravelActual[#Headers],0))</f>
        <v>800</v>
      </c>
      <c r="G32" s="103">
        <f>INDEX(TrainingAndTravelPlan[],MATCH(INDEX(TrainingAndTravelVariances[],ROW()-ROW(TrainingAndTravelVariances[[#Headers],[מאי]]),1),INDEX(TrainingAndTravelPlan[],,1),0),MATCH(TrainingAndTravelVariances[[#Headers],[מאי]],TrainingAndTravelPlan[#Headers],0))-INDEX(TrainingAndTravelActual[],MATCH(INDEX(TrainingAndTravelVariances[],ROW()-ROW(TrainingAndTravelVariances[[#Headers],[מאי]]),1),INDEX(TrainingAndTravelPlan[],,1),0),MATCH(TrainingAndTravelVariances[[#Headers],[מאי]],TrainingAndTravelActual[#Headers],0))</f>
        <v>1200</v>
      </c>
      <c r="H32" s="103">
        <f>INDEX(TrainingAndTravelPlan[],MATCH(INDEX(TrainingAndTravelVariances[],ROW()-ROW(TrainingAndTravelVariances[[#Headers],[יונ]]),1),INDEX(TrainingAndTravelPlan[],,1),0),MATCH(TrainingAndTravelVariances[[#Headers],[יונ]],TrainingAndTravelPlan[#Headers],0))-INDEX(TrainingAndTravelActual[],MATCH(INDEX(TrainingAndTravelVariances[],ROW()-ROW(TrainingAndTravelVariances[[#Headers],[יונ]]),1),INDEX(TrainingAndTravelPlan[],,1),0),MATCH(TrainingAndTravelVariances[[#Headers],[יונ]],TrainingAndTravelActual[#Headers],0))</f>
        <v>-1500</v>
      </c>
      <c r="I32" s="103">
        <f>INDEX(TrainingAndTravelPlan[],MATCH(INDEX(TrainingAndTravelVariances[],ROW()-ROW(TrainingAndTravelVariances[[#Headers],[יול]]),1),INDEX(TrainingAndTravelPlan[],,1),0),MATCH(TrainingAndTravelVariances[[#Headers],[יול]],TrainingAndTravelPlan[#Headers],0))-INDEX(TrainingAndTravelActual[],MATCH(INDEX(TrainingAndTravelVariances[],ROW()-ROW(TrainingAndTravelVariances[[#Headers],[יול]]),1),INDEX(TrainingAndTravelPlan[],,1),0),MATCH(TrainingAndTravelVariances[[#Headers],[יול]],TrainingAndTravelActual[#Headers],0))</f>
        <v>2000</v>
      </c>
      <c r="J32" s="103">
        <f>INDEX(TrainingAndTravelPlan[],MATCH(INDEX(TrainingAndTravelVariances[],ROW()-ROW(TrainingAndTravelVariances[[#Headers],[אוג]]),1),INDEX(TrainingAndTravelPlan[],,1),0),MATCH(TrainingAndTravelVariances[[#Headers],[אוג]],TrainingAndTravelPlan[#Headers],0))-INDEX(TrainingAndTravelActual[],MATCH(INDEX(TrainingAndTravelVariances[],ROW()-ROW(TrainingAndTravelVariances[[#Headers],[אוג]]),1),INDEX(TrainingAndTravelPlan[],,1),0),MATCH(TrainingAndTravelVariances[[#Headers],[אוג]],TrainingAndTravelActual[#Headers],0))</f>
        <v>2000</v>
      </c>
      <c r="K32" s="103">
        <f>INDEX(TrainingAndTravelPlan[],MATCH(INDEX(TrainingAndTravelVariances[],ROW()-ROW(TrainingAndTravelVariances[[#Headers],[ספט]]),1),INDEX(TrainingAndTravelPlan[],,1),0),MATCH(TrainingAndTravelVariances[[#Headers],[ספט]],TrainingAndTravelPlan[#Headers],0))-INDEX(TrainingAndTravelActual[],MATCH(INDEX(TrainingAndTravelVariances[],ROW()-ROW(TrainingAndTravelVariances[[#Headers],[ספט]]),1),INDEX(TrainingAndTravelPlan[],,1),0),MATCH(TrainingAndTravelVariances[[#Headers],[ספט]],TrainingAndTravelActual[#Headers],0))</f>
        <v>2000</v>
      </c>
      <c r="L32" s="103">
        <f>INDEX(TrainingAndTravelPlan[],MATCH(INDEX(TrainingAndTravelVariances[],ROW()-ROW(TrainingAndTravelVariances[[#Headers],[אוק]]),1),INDEX(TrainingAndTravelPlan[],,1),0),MATCH(TrainingAndTravelVariances[[#Headers],[אוק]],TrainingAndTravelPlan[#Headers],0))-INDEX(TrainingAndTravelActual[],MATCH(INDEX(TrainingAndTravelVariances[],ROW()-ROW(TrainingAndTravelVariances[[#Headers],[אוק]]),1),INDEX(TrainingAndTravelPlan[],,1),0),MATCH(TrainingAndTravelVariances[[#Headers],[אוק]],TrainingAndTravelActual[#Headers],0))</f>
        <v>2000</v>
      </c>
      <c r="M32" s="103">
        <f>INDEX(TrainingAndTravelPlan[],MATCH(INDEX(TrainingAndTravelVariances[],ROW()-ROW(TrainingAndTravelVariances[[#Headers],[נוב]]),1),INDEX(TrainingAndTravelPlan[],,1),0),MATCH(TrainingAndTravelVariances[[#Headers],[נוב]],TrainingAndTravelPlan[#Headers],0))-INDEX(TrainingAndTravelActual[],MATCH(INDEX(TrainingAndTravelVariances[],ROW()-ROW(TrainingAndTravelVariances[[#Headers],[נוב]]),1),INDEX(TrainingAndTravelPlan[],,1),0),MATCH(TrainingAndTravelVariances[[#Headers],[נוב]],TrainingAndTravelActual[#Headers],0))</f>
        <v>2000</v>
      </c>
      <c r="N32" s="103">
        <f>INDEX(TrainingAndTravelPlan[],MATCH(INDEX(TrainingAndTravelVariances[],ROW()-ROW(TrainingAndTravelVariances[[#Headers],[דצמ]]),1),INDEX(TrainingAndTravelPlan[],,1),0),MATCH(TrainingAndTravelVariances[[#Headers],[דצמ]],TrainingAndTravelPlan[#Headers],0))-INDEX(TrainingAndTravelActual[],MATCH(INDEX(TrainingAndTravelVariances[],ROW()-ROW(TrainingAndTravelVariances[[#Headers],[דצמ]]),1),INDEX(TrainingAndTravelPlan[],,1),0),MATCH(TrainingAndTravelVariances[[#Headers],[דצמ]],TrainingAndTravelActual[#Headers],0))</f>
        <v>2000</v>
      </c>
      <c r="O32" s="104">
        <f>SUM(TrainingAndTravelVariances[[#This Row],[ינו]:[דצמ]])</f>
        <v>13700</v>
      </c>
      <c r="P32" s="22"/>
    </row>
    <row r="33" spans="1:16" ht="24.95" customHeight="1" x14ac:dyDescent="0.25">
      <c r="A33" s="17"/>
      <c r="B33" s="53" t="s">
        <v>13</v>
      </c>
      <c r="C33" s="105">
        <f>SUBTOTAL(109,TrainingAndTravelVariances[ינו])</f>
        <v>1200</v>
      </c>
      <c r="D33" s="105">
        <f>SUBTOTAL(109,TrainingAndTravelVariances[פבר])</f>
        <v>-600</v>
      </c>
      <c r="E33" s="105">
        <f>SUBTOTAL(109,TrainingAndTravelVariances[מרץ])</f>
        <v>1200</v>
      </c>
      <c r="F33" s="105">
        <f>SUBTOTAL(109,TrainingAndTravelVariances[אפר])</f>
        <v>1200</v>
      </c>
      <c r="G33" s="105">
        <f>SUBTOTAL(109,TrainingAndTravelVariances[מאי])</f>
        <v>2000</v>
      </c>
      <c r="H33" s="105">
        <f>SUBTOTAL(109,TrainingAndTravelVariances[יונ])</f>
        <v>-2300</v>
      </c>
      <c r="I33" s="105">
        <f>SUBTOTAL(109,TrainingAndTravelVariances[יול])</f>
        <v>4000</v>
      </c>
      <c r="J33" s="105">
        <f>SUBTOTAL(109,TrainingAndTravelVariances[אוג])</f>
        <v>4000</v>
      </c>
      <c r="K33" s="105">
        <f>SUBTOTAL(109,TrainingAndTravelVariances[ספט])</f>
        <v>4000</v>
      </c>
      <c r="L33" s="105">
        <f>SUBTOTAL(109,TrainingAndTravelVariances[אוק])</f>
        <v>4000</v>
      </c>
      <c r="M33" s="105">
        <f>SUBTOTAL(109,TrainingAndTravelVariances[נוב])</f>
        <v>4000</v>
      </c>
      <c r="N33" s="105">
        <f>SUBTOTAL(109,TrainingAndTravelVariances[דצמ])</f>
        <v>4000</v>
      </c>
      <c r="O33" s="106">
        <f>SUBTOTAL(109,TrainingAndTravelVariances[שנה])</f>
        <v>26700</v>
      </c>
      <c r="P33" s="22"/>
    </row>
    <row r="34" spans="1:16" ht="21" customHeight="1" x14ac:dyDescent="0.25">
      <c r="A34" s="17"/>
      <c r="B34" s="25"/>
      <c r="C34" s="25"/>
      <c r="D34" s="75"/>
      <c r="E34" s="75"/>
      <c r="F34" s="75"/>
      <c r="G34" s="75"/>
      <c r="H34" s="75"/>
      <c r="I34" s="75"/>
      <c r="J34" s="75"/>
      <c r="K34" s="75"/>
      <c r="L34" s="75"/>
      <c r="M34" s="75"/>
      <c r="N34" s="75"/>
      <c r="O34" s="75"/>
      <c r="P34" s="22"/>
    </row>
    <row r="35" spans="1:16" ht="24.95" customHeight="1" thickBot="1" x14ac:dyDescent="0.3">
      <c r="A35" s="54"/>
      <c r="B35" s="55" t="s">
        <v>33</v>
      </c>
      <c r="C35" s="44" t="s">
        <v>36</v>
      </c>
      <c r="D35" s="44" t="s">
        <v>37</v>
      </c>
      <c r="E35" s="44" t="s">
        <v>38</v>
      </c>
      <c r="F35" s="44" t="s">
        <v>39</v>
      </c>
      <c r="G35" s="44" t="s">
        <v>40</v>
      </c>
      <c r="H35" s="44" t="s">
        <v>41</v>
      </c>
      <c r="I35" s="44" t="s">
        <v>42</v>
      </c>
      <c r="J35" s="44" t="s">
        <v>43</v>
      </c>
      <c r="K35" s="44" t="s">
        <v>46</v>
      </c>
      <c r="L35" s="44" t="s">
        <v>47</v>
      </c>
      <c r="M35" s="44" t="s">
        <v>48</v>
      </c>
      <c r="N35" s="44" t="s">
        <v>49</v>
      </c>
      <c r="O35" s="44" t="s">
        <v>50</v>
      </c>
      <c r="P35" s="22"/>
    </row>
    <row r="36" spans="1:16" ht="24.95" customHeight="1" thickBot="1" x14ac:dyDescent="0.3">
      <c r="A36" s="17"/>
      <c r="B36" s="56" t="s">
        <v>53</v>
      </c>
      <c r="C36" s="100">
        <f>TrainingAndTravelVariances[[#Totals],[ינו]]+MarketingVariances[[#Totals],[ינו]]+OfficeVariances[[#Totals],[ינו]]+EmployeeVariances[[#Totals],[ינו]]</f>
        <v>1738</v>
      </c>
      <c r="D36" s="100">
        <f>TrainingAndTravelVariances[[#Totals],[פבר]]+MarketingVariances[[#Totals],[פבר]]+OfficeVariances[[#Totals],[פבר]]+EmployeeVariances[[#Totals],[פבר]]</f>
        <v>-984</v>
      </c>
      <c r="E36" s="100">
        <f>TrainingAndTravelVariances[[#Totals],[מרץ]]+MarketingVariances[[#Totals],[מרץ]]+OfficeVariances[[#Totals],[מרץ]]+EmployeeVariances[[#Totals],[מרץ]]</f>
        <v>1255</v>
      </c>
      <c r="F36" s="100">
        <f>TrainingAndTravelVariances[[#Totals],[אפר]]+MarketingVariances[[#Totals],[אפר]]+OfficeVariances[[#Totals],[אפר]]+EmployeeVariances[[#Totals],[אפר]]</f>
        <v>301</v>
      </c>
      <c r="G36" s="100">
        <f>TrainingAndTravelVariances[[#Totals],[מאי]]+MarketingVariances[[#Totals],[מאי]]+OfficeVariances[[#Totals],[מאי]]+EmployeeVariances[[#Totals],[מאי]]</f>
        <v>1440</v>
      </c>
      <c r="H36" s="100">
        <f>TrainingAndTravelVariances[[#Totals],[יונ]]+MarketingVariances[[#Totals],[יונ]]+OfficeVariances[[#Totals],[יונ]]+EmployeeVariances[[#Totals],[יונ]]</f>
        <v>-3744</v>
      </c>
      <c r="I36" s="100">
        <f>TrainingAndTravelVariances[[#Totals],[יול]]+MarketingVariances[[#Totals],[יול]]+OfficeVariances[[#Totals],[יול]]+EmployeeVariances[[#Totals],[יול]]</f>
        <v>134695</v>
      </c>
      <c r="J36" s="100">
        <f>TrainingAndTravelVariances[[#Totals],[אוג]]+MarketingVariances[[#Totals],[אוג]]+OfficeVariances[[#Totals],[אוג]]+EmployeeVariances[[#Totals],[אוג]]</f>
        <v>138918</v>
      </c>
      <c r="K36" s="100">
        <f>TrainingAndTravelVariances[[#Totals],[ספט]]+MarketingVariances[[#Totals],[ספט]]+OfficeVariances[[#Totals],[ספט]]+EmployeeVariances[[#Totals],[ספט]]</f>
        <v>135918</v>
      </c>
      <c r="L36" s="100">
        <f>TrainingAndTravelVariances[[#Totals],[אוק]]+MarketingVariances[[#Totals],[אוק]]+OfficeVariances[[#Totals],[אוק]]+EmployeeVariances[[#Totals],[אוק]]</f>
        <v>140918</v>
      </c>
      <c r="M36" s="100">
        <f>TrainingAndTravelVariances[[#Totals],[נוב]]+MarketingVariances[[#Totals],[נוב]]+OfficeVariances[[#Totals],[נוב]]+EmployeeVariances[[#Totals],[נוב]]</f>
        <v>136218</v>
      </c>
      <c r="N36" s="100">
        <f>TrainingAndTravelVariances[[#Totals],[דצמ]]+MarketingVariances[[#Totals],[דצמ]]+OfficeVariances[[#Totals],[דצמ]]+EmployeeVariances[[#Totals],[דצמ]]</f>
        <v>140018</v>
      </c>
      <c r="O36" s="100">
        <f>TrainingAndTravelVariances[[#Totals],[שנה]]+MarketingVariances[[#Totals],[שנה]]+OfficeVariances[[#Totals],[שנה]]+EmployeeVariances[[#Totals],[שנה]]</f>
        <v>826691</v>
      </c>
      <c r="P36" s="22"/>
    </row>
    <row r="37" spans="1:16" ht="24.95" customHeight="1" thickBot="1" x14ac:dyDescent="0.3">
      <c r="A37" s="17"/>
      <c r="B37" s="56" t="s">
        <v>54</v>
      </c>
      <c r="C37" s="101">
        <f>SUM($C$36:C36)</f>
        <v>1738</v>
      </c>
      <c r="D37" s="101">
        <f>SUM($C$36:D36)</f>
        <v>754</v>
      </c>
      <c r="E37" s="101">
        <f>SUM($C$36:E36)</f>
        <v>2009</v>
      </c>
      <c r="F37" s="101">
        <f>SUM($C$36:F36)</f>
        <v>2310</v>
      </c>
      <c r="G37" s="101">
        <f>SUM($C$36:G36)</f>
        <v>3750</v>
      </c>
      <c r="H37" s="101">
        <f>SUM($C$36:H36)</f>
        <v>6</v>
      </c>
      <c r="I37" s="101">
        <f>SUM($C$36:I36)</f>
        <v>134701</v>
      </c>
      <c r="J37" s="101">
        <f>SUM($C$36:J36)</f>
        <v>273619</v>
      </c>
      <c r="K37" s="101">
        <f>SUM($C$36:K36)</f>
        <v>409537</v>
      </c>
      <c r="L37" s="101">
        <f>SUM($C$36:L36)</f>
        <v>550455</v>
      </c>
      <c r="M37" s="101">
        <f>SUM($C$36:M36)</f>
        <v>686673</v>
      </c>
      <c r="N37" s="101">
        <f>SUM($C$36:N36)</f>
        <v>826691</v>
      </c>
      <c r="O37" s="101"/>
      <c r="P37" s="22"/>
    </row>
    <row r="38" spans="1:16" ht="21" customHeight="1" x14ac:dyDescent="0.25">
      <c r="A38" s="36"/>
      <c r="D38" s="48"/>
    </row>
  </sheetData>
  <mergeCells count="2">
    <mergeCell ref="K2:M2"/>
    <mergeCell ref="K3:M3"/>
  </mergeCells>
  <conditionalFormatting sqref="C6:O8">
    <cfRule type="cellIs" dxfId="4" priority="5" operator="lessThan">
      <formula>0</formula>
    </cfRule>
  </conditionalFormatting>
  <conditionalFormatting sqref="C11:O19">
    <cfRule type="cellIs" dxfId="3" priority="4" operator="lessThan">
      <formula>0</formula>
    </cfRule>
  </conditionalFormatting>
  <conditionalFormatting sqref="C22:O28">
    <cfRule type="cellIs" dxfId="2" priority="3" operator="lessThan">
      <formula>0</formula>
    </cfRule>
  </conditionalFormatting>
  <conditionalFormatting sqref="C31:O33">
    <cfRule type="cellIs" dxfId="1" priority="2" operator="lessThan">
      <formula>0</formula>
    </cfRule>
  </conditionalFormatting>
  <conditionalFormatting sqref="C36:O37">
    <cfRule type="cellIs" dxfId="0" priority="1" operator="lessThan">
      <formula>0</formula>
    </cfRule>
  </conditionalFormatting>
  <dataValidations count="10">
    <dataValidation allowBlank="1" showInputMessage="1" showErrorMessage="1" prompt="מציין המיקום של הסמל מופיע בתא זה." sqref="N2" xr:uid="{37781601-5DCB-461E-AE37-039617AC3765}"/>
    <dataValidation allowBlank="1" showInputMessage="1" showErrorMessage="1" prompt="התווית 'שונות הוצאות' מופיעה בתא משמאל, תוויות החודשים מופיעות בתאים C4 עד N4 ותווית השנה מופיעה בתא O4." sqref="A4" xr:uid="{30EF6476-989C-4E19-8BDE-66AFC1B5F398}"/>
    <dataValidation allowBlank="1" showInputMessage="1" showErrorMessage="1" prompt="השונות עבור עלויות העובדים מחושבת באופן אוטומטי בטבלה 'שונות עובדים' שמתחילה בתא משמאל. ההוראה הבאה נמצאת בתא A10." sqref="A5" xr:uid="{839F8F2D-41ED-4FCE-836B-A98A823A57CC}"/>
    <dataValidation allowBlank="1" showInputMessage="1" showErrorMessage="1" prompt="השונות עבור העלויות המשרדיות מחושבת באופן אוטומטי בטבלה שמתחילה 'שונות משרדית' בתא משמאל. ההוראה הבאה נמצאת בתא A21." sqref="A10" xr:uid="{27073073-4E55-44AA-82CF-0E84E7DE56D1}"/>
    <dataValidation allowBlank="1" showInputMessage="1" showErrorMessage="1" prompt="השונות עבור עלויות השיווק מחושבת באופן אוטומטי בטבלה שמתחילה 'שונות שיווק' בתא משמאל. ההוראה הבאה נמצאת בתא A30." sqref="A21" xr:uid="{DE322E29-78F0-4CAC-A794-538FBE82A952}"/>
    <dataValidation allowBlank="1" showInputMessage="1" showErrorMessage="1" prompt="השונות עבור עלויות ההדרכה/נסיעה מחושבת באופן אוטומטי בטבלה 'שונות נסיעות' שמתחילה בתא משמאל. ההוראה הבאה נמצאת בתא A35." sqref="A30" xr:uid="{E7DC2698-49F1-46FA-BC02-81CE67BF794B}"/>
    <dataValidation allowBlank="1" showInputMessage="1" showErrorMessage="1" prompt="שונות ההוצאות הכוללת מחושבת באופן אוטומטי בטבלה שמתחילה בתא משמאל." sqref="A35" xr:uid="{96167FAC-0878-4372-B9C2-FE529C7ABF6D}"/>
    <dataValidation allowBlank="1" showInputMessage="1" showErrorMessage="1" prompt="הזן עלויות עובדים מתוכננות, עלויות משרדיות, עלויות שיווק וכן עלות הדרכה או עלות נסיעה בטבלאות המתאימות בגיליון עבודה זה. הסכומים הכוללים מחושבים באופן אוטומטי. הוראות לשימוש בגיליון עבודה זה נמצאות בתאים בעמודה זו. לחץ על חץ למטה כדי להתחיל בעבודה." sqref="A1" xr:uid="{C935014E-97FD-4DC5-8990-FFCC7A693081}"/>
    <dataValidation allowBlank="1" showInputMessage="1" showErrorMessage="1" prompt="שם החברה מעודכן באופן אוטומטי בתא משמאל. כותרת של גיליון עבודה זה נמצאת בתא K2. הזן סמל בתא N2." sqref="A2" xr:uid="{ACC2090E-7A1F-4581-8E9B-5F88818E0C50}"/>
    <dataValidation allowBlank="1" showInputMessage="1" showErrorMessage="1" prompt="העצה מופיעה בתא K3." sqref="A3" xr:uid="{6033F748-E9D5-4DE6-B824-555D5C6CA4CF}"/>
  </dataValidations>
  <pageMargins left="0.7" right="0.7" top="0.75" bottom="0.75" header="0.3" footer="0.3"/>
  <pageSetup paperSize="9" fitToHeight="0" orientation="portrait" r:id="rId1"/>
  <ignoredErrors>
    <ignoredError sqref="B2" emptyCellReference="1"/>
    <ignoredError sqref="C36:O37" calculatedColumn="1"/>
  </ignoredErrors>
  <drawing r:id="rId2"/>
  <tableParts count="5">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pageSetUpPr autoPageBreaks="0"/>
  </sheetPr>
  <dimension ref="A1:P39"/>
  <sheetViews>
    <sheetView showGridLines="0" rightToLeft="1" zoomScaleNormal="100" workbookViewId="0"/>
  </sheetViews>
  <sheetFormatPr defaultColWidth="9.140625" defaultRowHeight="18" x14ac:dyDescent="0.25"/>
  <cols>
    <col min="1" max="1" width="4.7109375" style="125" customWidth="1"/>
    <col min="2" max="2" width="26.28515625" style="47" customWidth="1"/>
    <col min="3" max="3" width="26" style="47" customWidth="1"/>
    <col min="4" max="4" width="24.28515625" style="47" customWidth="1"/>
    <col min="5" max="5" width="23" style="47" customWidth="1"/>
    <col min="6" max="6" width="24.5703125" style="47" customWidth="1"/>
    <col min="7" max="7" width="4.7109375" style="9" customWidth="1"/>
    <col min="8" max="8" width="9" customWidth="1"/>
    <col min="9" max="16384" width="9.140625" style="47"/>
  </cols>
  <sheetData>
    <row r="1" spans="1:16" s="9" customFormat="1" ht="24" customHeight="1" x14ac:dyDescent="0.25">
      <c r="A1" s="57"/>
      <c r="B1" s="6"/>
      <c r="C1" s="6"/>
      <c r="D1" s="6"/>
      <c r="E1" s="7"/>
      <c r="F1" s="7"/>
      <c r="G1" s="8" t="s">
        <v>51</v>
      </c>
      <c r="H1" s="22"/>
      <c r="I1" s="69"/>
      <c r="J1" s="69"/>
      <c r="K1" s="69"/>
      <c r="L1" s="69"/>
      <c r="M1" s="69"/>
      <c r="N1" s="69"/>
      <c r="O1" s="69"/>
      <c r="P1" s="69" t="s">
        <v>51</v>
      </c>
    </row>
    <row r="2" spans="1:16" s="9" customFormat="1" ht="45" customHeight="1" x14ac:dyDescent="0.25">
      <c r="A2" s="57"/>
      <c r="B2" s="11" t="str">
        <f>'הוצאות מתוכננות'!B2:D3</f>
        <v>שם החברה</v>
      </c>
      <c r="C2" s="11"/>
      <c r="D2" s="11"/>
      <c r="E2" s="110"/>
      <c r="F2" s="58"/>
      <c r="G2" s="58"/>
      <c r="H2" s="22"/>
      <c r="I2" s="69"/>
      <c r="J2" s="69"/>
      <c r="K2" s="69"/>
      <c r="L2" s="69"/>
      <c r="M2" s="69"/>
      <c r="N2" s="69"/>
      <c r="O2" s="69"/>
      <c r="P2" s="69"/>
    </row>
    <row r="3" spans="1:16" s="9" customFormat="1" ht="30" customHeight="1" x14ac:dyDescent="0.25">
      <c r="A3" s="57"/>
      <c r="B3" s="11"/>
      <c r="C3" s="11"/>
      <c r="D3" s="11"/>
      <c r="E3" s="131" t="str">
        <f>worksheet_title</f>
        <v>פירוט ההוצאות המשוערות</v>
      </c>
      <c r="F3" s="131"/>
      <c r="G3" s="131"/>
      <c r="H3" s="22"/>
      <c r="I3" s="69"/>
      <c r="J3" s="69"/>
      <c r="K3" s="69"/>
      <c r="L3" s="69"/>
      <c r="M3" s="69"/>
      <c r="N3" s="69"/>
      <c r="O3" s="69"/>
      <c r="P3" s="69"/>
    </row>
    <row r="4" spans="1:16" customFormat="1" ht="18.75" customHeight="1" x14ac:dyDescent="0.15">
      <c r="A4" s="59"/>
      <c r="B4" s="69"/>
      <c r="C4" s="69"/>
      <c r="D4" s="69"/>
      <c r="E4" s="69"/>
      <c r="F4" s="69"/>
      <c r="G4" s="69"/>
      <c r="H4" s="69"/>
      <c r="I4" s="69"/>
      <c r="J4" s="69"/>
      <c r="K4" s="69"/>
      <c r="L4" s="69"/>
      <c r="M4" s="69"/>
      <c r="N4" s="69"/>
      <c r="O4" s="69"/>
      <c r="P4" s="69"/>
    </row>
    <row r="5" spans="1:16" ht="24.95" customHeight="1" thickBot="1" x14ac:dyDescent="0.3">
      <c r="A5" s="60"/>
      <c r="B5" s="111" t="s">
        <v>56</v>
      </c>
      <c r="C5" s="112" t="s">
        <v>9</v>
      </c>
      <c r="D5" s="113" t="s">
        <v>52</v>
      </c>
      <c r="E5" s="111" t="s">
        <v>55</v>
      </c>
      <c r="F5" s="114" t="s">
        <v>57</v>
      </c>
      <c r="G5" s="19"/>
      <c r="H5" s="69"/>
      <c r="I5" s="69"/>
      <c r="J5" s="69"/>
      <c r="K5" s="69"/>
      <c r="L5" s="69"/>
      <c r="M5" s="69"/>
      <c r="N5" s="69"/>
      <c r="O5" s="69"/>
      <c r="P5" s="69"/>
    </row>
    <row r="6" spans="1:16" ht="24.95" customHeight="1" thickBot="1" x14ac:dyDescent="0.3">
      <c r="A6" s="61"/>
      <c r="B6" s="115" t="s">
        <v>10</v>
      </c>
      <c r="C6" s="116">
        <f>EmployeePlan[[#Totals],[שנה]]</f>
        <v>1355090</v>
      </c>
      <c r="D6" s="116">
        <f>EmployeeActual[[#Totals],[שנה]]</f>
        <v>659130</v>
      </c>
      <c r="E6" s="116">
        <f>C6-D6</f>
        <v>695960</v>
      </c>
      <c r="F6" s="117">
        <f>E6/C6</f>
        <v>0.5135895032802249</v>
      </c>
      <c r="G6" s="22"/>
      <c r="H6" s="69"/>
      <c r="I6" s="62"/>
      <c r="J6" s="62"/>
      <c r="K6" s="62"/>
      <c r="L6" s="62"/>
      <c r="M6" s="62"/>
      <c r="N6" s="62"/>
      <c r="O6" s="62"/>
      <c r="P6" s="62"/>
    </row>
    <row r="7" spans="1:16" ht="24.95" customHeight="1" thickBot="1" x14ac:dyDescent="0.3">
      <c r="A7" s="60"/>
      <c r="B7" s="115" t="str">
        <f>'הוצאות מתוכננות'!B10</f>
        <v>עלויות משרדיות</v>
      </c>
      <c r="C7" s="116">
        <f>OfficePlan[[#Totals],[שנה]]</f>
        <v>138740</v>
      </c>
      <c r="D7" s="116">
        <f>OfficeActual[[#Totals],[שנה]]</f>
        <v>69350</v>
      </c>
      <c r="E7" s="116">
        <f>C7-D7</f>
        <v>69390</v>
      </c>
      <c r="F7" s="117">
        <f>E7/C7</f>
        <v>0.50014415453366012</v>
      </c>
      <c r="G7" s="22"/>
      <c r="H7" s="69"/>
      <c r="I7" s="62"/>
      <c r="J7" s="62"/>
      <c r="K7" s="62"/>
      <c r="L7" s="62"/>
      <c r="M7" s="62"/>
      <c r="N7" s="62"/>
      <c r="O7" s="62"/>
      <c r="P7" s="62"/>
    </row>
    <row r="8" spans="1:16" ht="24.95" customHeight="1" thickBot="1" x14ac:dyDescent="0.3">
      <c r="A8" s="60"/>
      <c r="B8" s="118" t="str">
        <f>'הוצאות מתוכננות'!B21</f>
        <v>עלויות שיווק</v>
      </c>
      <c r="C8" s="116">
        <f>MarketingPlan[[#Totals],[שנה]]</f>
        <v>67800</v>
      </c>
      <c r="D8" s="116">
        <f>MarketingActual[[#Totals],[שנה]]</f>
        <v>33159</v>
      </c>
      <c r="E8" s="116">
        <f>C8-D8</f>
        <v>34641</v>
      </c>
      <c r="F8" s="117">
        <f>E8/C8</f>
        <v>0.51092920353982296</v>
      </c>
      <c r="G8" s="22"/>
      <c r="H8" s="69"/>
      <c r="I8" s="62"/>
      <c r="J8" s="62"/>
      <c r="K8" s="62"/>
      <c r="L8" s="62"/>
      <c r="M8" s="62"/>
      <c r="N8" s="62"/>
      <c r="O8" s="62"/>
      <c r="P8" s="62"/>
    </row>
    <row r="9" spans="1:16" ht="24.95" customHeight="1" thickBot="1" x14ac:dyDescent="0.3">
      <c r="A9" s="60"/>
      <c r="B9" s="118" t="str">
        <f>'הוצאות מתוכננות'!B30</f>
        <v>הדרכה/נסיעה</v>
      </c>
      <c r="C9" s="116">
        <f>TrainingAndTravelPlan[[#Totals],[שנה]]</f>
        <v>48000</v>
      </c>
      <c r="D9" s="116">
        <f>TrainingAndTravelActual[[#Totals],[שנה]]</f>
        <v>21300</v>
      </c>
      <c r="E9" s="116">
        <f>C9-D9</f>
        <v>26700</v>
      </c>
      <c r="F9" s="117">
        <f>E9/C9</f>
        <v>0.55625000000000002</v>
      </c>
      <c r="G9" s="22"/>
      <c r="H9" s="69"/>
      <c r="I9" s="62"/>
      <c r="J9" s="62"/>
      <c r="K9" s="62"/>
      <c r="L9" s="62"/>
      <c r="M9" s="62"/>
      <c r="N9" s="62"/>
      <c r="O9" s="62"/>
      <c r="P9" s="62"/>
    </row>
    <row r="10" spans="1:16" ht="24.95" customHeight="1" x14ac:dyDescent="0.25">
      <c r="A10" s="60"/>
      <c r="B10" s="119" t="str">
        <f>'הוצאות מתוכננות'!B35</f>
        <v>סכומים כוללים</v>
      </c>
      <c r="C10" s="120">
        <f>'הוצאות מתוכננות'!O36</f>
        <v>1609630</v>
      </c>
      <c r="D10" s="120">
        <f>'הוצאות בפועל'!O36</f>
        <v>782939</v>
      </c>
      <c r="E10" s="120">
        <f>C10-D10</f>
        <v>826691</v>
      </c>
      <c r="F10" s="121">
        <f>E10/C10</f>
        <v>0.51359070096854553</v>
      </c>
      <c r="G10" s="22"/>
      <c r="H10" s="69"/>
      <c r="I10" s="62"/>
      <c r="J10" s="62"/>
      <c r="K10" s="62"/>
      <c r="L10" s="62"/>
      <c r="M10" s="62"/>
      <c r="N10" s="62"/>
      <c r="O10" s="62"/>
      <c r="P10" s="62"/>
    </row>
    <row r="11" spans="1:16" x14ac:dyDescent="0.25">
      <c r="A11" s="63"/>
      <c r="B11" s="122"/>
      <c r="C11" s="123"/>
      <c r="D11" s="123"/>
      <c r="E11" s="123"/>
      <c r="F11" s="124"/>
    </row>
    <row r="12" spans="1:16" ht="300" customHeight="1" x14ac:dyDescent="0.25">
      <c r="A12" s="63"/>
      <c r="B12" s="132"/>
      <c r="C12" s="132"/>
      <c r="D12" s="132"/>
      <c r="E12" s="132"/>
      <c r="F12" s="132"/>
      <c r="G12"/>
    </row>
    <row r="13" spans="1:16" ht="18.75" customHeight="1" x14ac:dyDescent="0.25">
      <c r="A13" s="63"/>
      <c r="B13" s="64"/>
    </row>
    <row r="14" spans="1:16" x14ac:dyDescent="0.25">
      <c r="A14" s="63"/>
      <c r="B14" s="64"/>
      <c r="C14" s="65"/>
      <c r="D14" s="65"/>
      <c r="E14" s="65"/>
      <c r="F14" s="65"/>
    </row>
    <row r="15" spans="1:16" x14ac:dyDescent="0.25">
      <c r="A15" s="63"/>
      <c r="B15" s="64"/>
      <c r="C15" s="65"/>
      <c r="D15" s="65"/>
      <c r="E15" s="65"/>
      <c r="F15" s="65"/>
    </row>
    <row r="16" spans="1:16" x14ac:dyDescent="0.25">
      <c r="A16" s="63"/>
      <c r="B16" s="64"/>
      <c r="C16" s="65"/>
      <c r="D16" s="65"/>
      <c r="E16" s="65"/>
      <c r="F16" s="65"/>
    </row>
    <row r="17" spans="1:6" x14ac:dyDescent="0.25">
      <c r="A17" s="63"/>
      <c r="B17" s="64"/>
      <c r="C17" s="65"/>
      <c r="D17" s="65"/>
      <c r="E17" s="65"/>
      <c r="F17" s="65"/>
    </row>
    <row r="18" spans="1:6" x14ac:dyDescent="0.25">
      <c r="A18" s="63"/>
      <c r="B18" s="64"/>
      <c r="C18" s="65"/>
      <c r="D18" s="65"/>
      <c r="E18" s="65"/>
      <c r="F18" s="65"/>
    </row>
    <row r="19" spans="1:6" x14ac:dyDescent="0.25">
      <c r="A19" s="63"/>
      <c r="B19" s="65"/>
      <c r="C19" s="65"/>
      <c r="D19" s="65"/>
      <c r="E19" s="65"/>
      <c r="F19" s="65"/>
    </row>
    <row r="20" spans="1:6" x14ac:dyDescent="0.25">
      <c r="A20" s="63"/>
      <c r="B20" s="65"/>
      <c r="C20" s="65"/>
      <c r="D20" s="65"/>
      <c r="E20" s="65"/>
      <c r="F20" s="65"/>
    </row>
    <row r="21" spans="1:6" x14ac:dyDescent="0.25">
      <c r="A21" s="63"/>
      <c r="B21" s="65"/>
      <c r="C21" s="65"/>
      <c r="D21" s="65"/>
      <c r="E21" s="65"/>
      <c r="F21" s="65"/>
    </row>
    <row r="22" spans="1:6" x14ac:dyDescent="0.25">
      <c r="A22" s="63"/>
      <c r="B22" s="64"/>
      <c r="C22" s="65"/>
      <c r="D22" s="65"/>
      <c r="E22" s="65"/>
      <c r="F22" s="65"/>
    </row>
    <row r="23" spans="1:6" x14ac:dyDescent="0.25">
      <c r="A23" s="63"/>
      <c r="B23" s="64"/>
      <c r="C23" s="65"/>
      <c r="D23" s="65"/>
      <c r="E23" s="65"/>
      <c r="F23" s="65"/>
    </row>
    <row r="24" spans="1:6" x14ac:dyDescent="0.25">
      <c r="A24" s="63"/>
      <c r="B24" s="64"/>
      <c r="C24" s="65"/>
      <c r="D24" s="65"/>
      <c r="E24" s="65"/>
      <c r="F24" s="65"/>
    </row>
    <row r="25" spans="1:6" x14ac:dyDescent="0.25">
      <c r="A25" s="63"/>
      <c r="B25" s="64"/>
      <c r="C25" s="65"/>
      <c r="D25" s="65"/>
      <c r="E25" s="65"/>
      <c r="F25" s="65"/>
    </row>
    <row r="26" spans="1:6" x14ac:dyDescent="0.25">
      <c r="A26" s="63"/>
      <c r="B26" s="64"/>
      <c r="C26" s="65"/>
      <c r="D26" s="65"/>
      <c r="E26" s="65"/>
      <c r="F26" s="65"/>
    </row>
    <row r="27" spans="1:6" x14ac:dyDescent="0.25">
      <c r="A27" s="63"/>
      <c r="B27" s="64"/>
      <c r="C27" s="65"/>
      <c r="D27" s="65"/>
      <c r="E27" s="65"/>
      <c r="F27" s="65"/>
    </row>
    <row r="28" spans="1:6" x14ac:dyDescent="0.25">
      <c r="A28" s="63"/>
      <c r="B28" s="65"/>
      <c r="C28" s="65"/>
      <c r="D28" s="65"/>
      <c r="E28" s="65"/>
      <c r="F28" s="65"/>
    </row>
    <row r="29" spans="1:6" x14ac:dyDescent="0.25">
      <c r="A29" s="63"/>
      <c r="B29" s="65"/>
      <c r="C29" s="65"/>
      <c r="D29" s="65"/>
      <c r="E29" s="65"/>
      <c r="F29" s="65"/>
    </row>
    <row r="30" spans="1:6" x14ac:dyDescent="0.25">
      <c r="A30" s="63"/>
      <c r="B30" s="65"/>
      <c r="C30" s="65"/>
      <c r="D30" s="65"/>
      <c r="E30" s="65"/>
      <c r="F30" s="65"/>
    </row>
    <row r="31" spans="1:6" x14ac:dyDescent="0.25">
      <c r="A31" s="63"/>
      <c r="B31" s="64"/>
      <c r="C31" s="65"/>
      <c r="D31" s="65"/>
      <c r="E31" s="65"/>
      <c r="F31" s="65"/>
    </row>
    <row r="32" spans="1:6" x14ac:dyDescent="0.25">
      <c r="A32" s="63"/>
      <c r="B32" s="64"/>
      <c r="C32" s="65"/>
      <c r="D32" s="65"/>
      <c r="E32" s="65"/>
      <c r="F32" s="65"/>
    </row>
    <row r="33" spans="1:6" x14ac:dyDescent="0.25">
      <c r="A33" s="63"/>
      <c r="B33" s="65"/>
      <c r="C33" s="65"/>
      <c r="D33" s="65"/>
      <c r="E33" s="65"/>
      <c r="F33" s="65"/>
    </row>
    <row r="34" spans="1:6" x14ac:dyDescent="0.25">
      <c r="A34" s="63"/>
      <c r="B34" s="65"/>
      <c r="C34" s="65"/>
      <c r="D34" s="65"/>
      <c r="E34" s="65"/>
      <c r="F34" s="65"/>
    </row>
    <row r="35" spans="1:6" x14ac:dyDescent="0.25">
      <c r="A35" s="63"/>
      <c r="B35" s="65"/>
      <c r="C35" s="65"/>
      <c r="D35" s="65"/>
      <c r="E35" s="65"/>
      <c r="F35" s="65"/>
    </row>
    <row r="36" spans="1:6" x14ac:dyDescent="0.25">
      <c r="A36" s="63"/>
      <c r="B36" s="66"/>
      <c r="C36" s="65"/>
      <c r="D36" s="65"/>
      <c r="E36" s="65"/>
      <c r="F36" s="65"/>
    </row>
    <row r="37" spans="1:6" x14ac:dyDescent="0.25">
      <c r="A37" s="63"/>
      <c r="B37" s="66"/>
      <c r="C37" s="65"/>
      <c r="D37" s="65"/>
      <c r="E37" s="65"/>
      <c r="F37" s="65"/>
    </row>
    <row r="38" spans="1:6" x14ac:dyDescent="0.25">
      <c r="A38" s="63"/>
    </row>
    <row r="39" spans="1:6" x14ac:dyDescent="0.25">
      <c r="A39" s="63"/>
    </row>
  </sheetData>
  <mergeCells count="2">
    <mergeCell ref="E3:G3"/>
    <mergeCell ref="B12:F12"/>
  </mergeCells>
  <dataValidations count="8">
    <dataValidation allowBlank="1" showInputMessage="1" showErrorMessage="1" prompt="תרשים עוגה שמציג את ההוצאות המתוכננות במגוון קטגוריות מופיע בתא זה." sqref="B12:F12" xr:uid="{B2131E0D-FC0E-41E0-A823-1146E5092945}"/>
    <dataValidation allowBlank="1" showInputMessage="1" showErrorMessage="1" prompt="הוצאות שנתיות מתוכננות והוצאות שנתיות בפועל, שונות הוצאות ואחוזים של שונות מתעדכנים באופן אוטומטי עבור כל קטגוריית הוצאות בגיליון עבודה זה. הוראות שימושיות לשימוש בגיליון עבודה זה נמצאות בתאים בעמודה זו. לחץ על חץ למטה כדי להתחיל בעבודה." sqref="A1" xr:uid="{2B6B986C-CF09-4535-B287-5D9961D543F9}"/>
    <dataValidation allowBlank="1" showInputMessage="1" showErrorMessage="1" prompt="שם החברה מתעדכן באופן אוטומטי בתא משמאל. הזן סמל בתא F2." sqref="A2" xr:uid="{54F690A8-E3B2-49FE-B037-4CB57E2B08A1}"/>
    <dataValidation allowBlank="1" showInputMessage="1" showErrorMessage="1" prompt="הכותרת של גיליון עבודה זה מופיעה בתא E3. ההוראה הבאה מופיעה בתא A5." sqref="A3" xr:uid="{FED07153-5704-491F-BD0F-28D4A0F15619}"/>
    <dataValidation allowBlank="1" showInputMessage="1" showErrorMessage="1" prompt="ההוצאות המתוכננות, ההוצאות בפועל, שונות ההוצאות ואחוז השונות מחושבים באופן אוטומטי בטבלת הניתוח שמתחילה בתא משמאל. ההוראה הבאה נמצאת בתא A12." sqref="A5" xr:uid="{17A4F301-0551-4056-B357-1FCC3532C5BE}"/>
    <dataValidation allowBlank="1" showInputMessage="1" showErrorMessage="1" prompt="תרשים עוגה של ההוצאות המתוכננות מופיע בתא משמאל, ותרשים עוגה של ההוצאות בפועל מופיע בתא D12. ההוראה הבאה נמצאת בתא A14." sqref="A12" xr:uid="{FE13E92D-A1BA-4BB9-9C16-0CDEB5285C6E}"/>
    <dataValidation allowBlank="1" showInputMessage="1" showErrorMessage="1" prompt="תרשים שמציג ערכים עבור 'מתוכננות', 'בפועל' ו'שונות' עבור ההוצאות החודשיות מופיע בתא משמאל." sqref="A14" xr:uid="{A5F374DB-643C-44A4-B534-F79A39786B80}"/>
    <dataValidation allowBlank="1" showInputMessage="1" showErrorMessage="1" prompt="מציין המיקום של הסמל מופיע בתא זה." sqref="F2:G2" xr:uid="{831A4984-168B-4337-BAEA-80B7246F2962}"/>
  </dataValidations>
  <pageMargins left="0.7" right="0.7" top="0.75" bottom="0.75" header="0.3" footer="0.3"/>
  <pageSetup paperSize="9" orientation="portrait" r:id="rId1"/>
  <ignoredErrors>
    <ignoredError sqref="B2" emptyCellReference="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5DBCFF-B01D-443B-958D-5BBBD3E2E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3F0F1A-F818-48F9-BE67-B9DBEFF91A62}">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69CB1A22-CE44-4532-A0DB-84194B783B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TM04035489</Template>
  <Application>Microsoft Excel</Application>
  <DocSecurity>0</DocSecurity>
  <ScaleCrop>false</ScaleCrop>
  <HeadingPairs>
    <vt:vector size="4" baseType="variant">
      <vt:variant>
        <vt:lpstr>גליונות עבודה</vt:lpstr>
      </vt:variant>
      <vt:variant>
        <vt:i4>5</vt:i4>
      </vt:variant>
      <vt:variant>
        <vt:lpstr>טווחים בעלי שם</vt:lpstr>
      </vt:variant>
      <vt:variant>
        <vt:i4>1</vt:i4>
      </vt:variant>
    </vt:vector>
  </HeadingPairs>
  <TitlesOfParts>
    <vt:vector size="6" baseType="lpstr">
      <vt:lpstr>התחלה</vt:lpstr>
      <vt:lpstr>הוצאות מתוכננות</vt:lpstr>
      <vt:lpstr>הוצאות בפועל</vt:lpstr>
      <vt:lpstr>שונות הוצאות</vt:lpstr>
      <vt:lpstr>ניתוח הוצאות</vt:lpstr>
      <vt:lpstr>worksheet_title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2022-02-14T06:36:37Z</dcterms:created>
  <dcterms:modified xsi:type="dcterms:W3CDTF">2025-07-15T06:18:16Z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