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6e1e862ef65599a/מסמכים/"/>
    </mc:Choice>
  </mc:AlternateContent>
  <xr:revisionPtr revIDLastSave="14" documentId="8_{BAD74435-5311-428F-9F59-6995FF144EE0}" xr6:coauthVersionLast="47" xr6:coauthVersionMax="47" xr10:uidLastSave="{AA6207FF-A170-4ED0-9F2F-220FD87B53D7}"/>
  <bookViews>
    <workbookView xWindow="-108" yWindow="-108" windowWidth="23256" windowHeight="12456" xr2:uid="{128978F0-E389-4BAC-B9B1-D6A608058A09}"/>
  </bookViews>
  <sheets>
    <sheet name="מעקב שעות עבודה סת&quot;ם" sheetId="1" r:id="rId1"/>
    <sheet name="סיכום הכנסות סת&quot;ם" sheetId="2" r:id="rId2"/>
  </sheets>
  <definedNames>
    <definedName name="Budget_Title">#REF!</definedName>
    <definedName name="BUGET">#REF!</definedName>
    <definedName name="CategoryLookup">#REF!</definedName>
    <definedName name="IncomeTotal">#REF!</definedName>
    <definedName name="ReportDate">#REF!</definedName>
    <definedName name="Results">#REF!</definedName>
    <definedName name="SummaryHeaderRow">#REF!</definedName>
    <definedName name="UnderOver" localSheetId="1">IncomeTotal-(SUM(#REF!)-IncomeTotal)</definedName>
    <definedName name="UnderOver">IncomeTotal-(SUM(#REF!)-IncomeTotal)</definedName>
    <definedName name="הכנסות_קבועות_בפועל">#REF!,#REF!</definedName>
    <definedName name="הכנסות_קבועות_מתוכנן">#REF!,#REF!</definedName>
    <definedName name="טרנזקציה">#REF!</definedName>
    <definedName name="כותרת1">#REF!</definedName>
    <definedName name="כותרת2">#REF!</definedName>
    <definedName name="כותרת3">#REF!</definedName>
    <definedName name="נוע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L8" i="1"/>
  <c r="H29" i="1"/>
  <c r="F5" i="2"/>
  <c r="F4" i="2" l="1"/>
  <c r="F3" i="2"/>
  <c r="G20" i="2"/>
  <c r="D31" i="2" s="1"/>
  <c r="D22" i="2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D5" i="1"/>
  <c r="I12" i="1"/>
  <c r="H20" i="1"/>
  <c r="I13" i="1" s="1"/>
  <c r="I19" i="1"/>
  <c r="H19" i="1"/>
  <c r="I18" i="1"/>
  <c r="H18" i="1"/>
  <c r="C13" i="1"/>
  <c r="F10" i="2" l="1"/>
  <c r="E10" i="2"/>
  <c r="D32" i="2"/>
  <c r="D6" i="1"/>
  <c r="I11" i="1"/>
  <c r="J37" i="1"/>
  <c r="J25" i="1"/>
  <c r="J19" i="1"/>
  <c r="J41" i="1"/>
  <c r="L41" i="1" s="1"/>
  <c r="J29" i="1"/>
  <c r="L29" i="1" s="1"/>
  <c r="J31" i="1"/>
  <c r="L31" i="1" s="1"/>
  <c r="J18" i="1"/>
  <c r="K18" i="1" s="1"/>
  <c r="J26" i="1"/>
  <c r="L26" i="1" s="1"/>
  <c r="J33" i="1"/>
  <c r="L33" i="1" s="1"/>
  <c r="J23" i="1"/>
  <c r="L23" i="1" s="1"/>
  <c r="J42" i="1"/>
  <c r="J30" i="1"/>
  <c r="J32" i="1"/>
  <c r="L32" i="1" s="1"/>
  <c r="J40" i="1"/>
  <c r="L40" i="1" s="1"/>
  <c r="J39" i="1"/>
  <c r="L39" i="1" s="1"/>
  <c r="J27" i="1"/>
  <c r="L27" i="1" s="1"/>
  <c r="J34" i="1"/>
  <c r="L34" i="1" s="1"/>
  <c r="J22" i="1"/>
  <c r="L22" i="1" s="1"/>
  <c r="D12" i="1"/>
  <c r="E12" i="1" s="1"/>
  <c r="J36" i="1"/>
  <c r="L36" i="1" s="1"/>
  <c r="J24" i="1"/>
  <c r="L24" i="1" s="1"/>
  <c r="J38" i="1"/>
  <c r="L38" i="1" s="1"/>
  <c r="J28" i="1"/>
  <c r="L28" i="1" s="1"/>
  <c r="J21" i="1"/>
  <c r="L21" i="1" s="1"/>
  <c r="J35" i="1"/>
  <c r="L35" i="1" s="1"/>
  <c r="E43" i="1"/>
  <c r="F43" i="1"/>
  <c r="H43" i="1"/>
  <c r="K41" i="1"/>
  <c r="D13" i="1"/>
  <c r="E13" i="1" s="1"/>
  <c r="I20" i="1"/>
  <c r="I14" i="1" s="1"/>
  <c r="I15" i="1" s="1"/>
  <c r="K22" i="1" l="1"/>
  <c r="H3" i="2"/>
  <c r="M23" i="1"/>
  <c r="M35" i="1"/>
  <c r="M24" i="1"/>
  <c r="M36" i="1"/>
  <c r="M25" i="1"/>
  <c r="M37" i="1"/>
  <c r="M26" i="1"/>
  <c r="M38" i="1"/>
  <c r="M27" i="1"/>
  <c r="M39" i="1"/>
  <c r="M28" i="1"/>
  <c r="M40" i="1"/>
  <c r="M29" i="1"/>
  <c r="M41" i="1"/>
  <c r="M30" i="1"/>
  <c r="M42" i="1"/>
  <c r="M31" i="1"/>
  <c r="M20" i="1"/>
  <c r="M32" i="1"/>
  <c r="M19" i="1"/>
  <c r="M21" i="1"/>
  <c r="M33" i="1"/>
  <c r="M18" i="1"/>
  <c r="M22" i="1"/>
  <c r="M34" i="1"/>
  <c r="K40" i="1"/>
  <c r="K35" i="1"/>
  <c r="K34" i="1"/>
  <c r="K39" i="1"/>
  <c r="I43" i="1"/>
  <c r="K26" i="1"/>
  <c r="K21" i="1"/>
  <c r="K27" i="1"/>
  <c r="K37" i="1"/>
  <c r="L37" i="1"/>
  <c r="K30" i="1"/>
  <c r="L30" i="1"/>
  <c r="L42" i="1"/>
  <c r="K42" i="1"/>
  <c r="K23" i="1"/>
  <c r="K28" i="1"/>
  <c r="J20" i="1"/>
  <c r="L12" i="1" s="1"/>
  <c r="I10" i="1" s="1"/>
  <c r="L18" i="1"/>
  <c r="J43" i="1"/>
  <c r="K36" i="1"/>
  <c r="K31" i="1"/>
  <c r="K38" i="1"/>
  <c r="K29" i="1"/>
  <c r="K33" i="1"/>
  <c r="K32" i="1"/>
  <c r="K19" i="1"/>
  <c r="L19" i="1"/>
  <c r="K24" i="1"/>
  <c r="K25" i="1"/>
  <c r="L25" i="1"/>
  <c r="L13" i="1" l="1"/>
  <c r="D15" i="1"/>
  <c r="M43" i="1"/>
  <c r="L20" i="1"/>
  <c r="L14" i="1" s="1"/>
  <c r="K20" i="1"/>
  <c r="L43" i="1" l="1"/>
  <c r="K43" i="1"/>
</calcChain>
</file>

<file path=xl/sharedStrings.xml><?xml version="1.0" encoding="utf-8"?>
<sst xmlns="http://schemas.openxmlformats.org/spreadsheetml/2006/main" count="141" uniqueCount="109">
  <si>
    <t>סכום</t>
  </si>
  <si>
    <t>מזוזות</t>
  </si>
  <si>
    <t>שורות</t>
  </si>
  <si>
    <t>שורות שכתבתי החודש</t>
  </si>
  <si>
    <t>שעות עבודה החודש</t>
  </si>
  <si>
    <t>הכנסות</t>
  </si>
  <si>
    <t>יעד חודשי</t>
  </si>
  <si>
    <t>ממוצע דקות לשורה</t>
  </si>
  <si>
    <t>אחוז הספק ממוצע</t>
  </si>
  <si>
    <t>כמה מזוזות כתבתי</t>
  </si>
  <si>
    <t>אחוז הספק חודשי</t>
  </si>
  <si>
    <t>נשאר להשלים</t>
  </si>
  <si>
    <t>מזוזות כשרות נטו</t>
  </si>
  <si>
    <t>יום בשבוע</t>
  </si>
  <si>
    <t>תאריך לועזי</t>
  </si>
  <si>
    <t>תאריך</t>
  </si>
  <si>
    <t>שורות שכתבתי</t>
  </si>
  <si>
    <t>שעות עבודה</t>
  </si>
  <si>
    <t>הערות</t>
  </si>
  <si>
    <t>דקות לשורה</t>
  </si>
  <si>
    <t>מזוזות ביום</t>
  </si>
  <si>
    <t>הכנסות נטו</t>
  </si>
  <si>
    <t>אחוז מהיעד היומי</t>
  </si>
  <si>
    <t>אחוז מהיעד החודשי</t>
  </si>
  <si>
    <t>ג'</t>
  </si>
  <si>
    <t>א' אייר</t>
  </si>
  <si>
    <t>ימי עבודה בחודש</t>
  </si>
  <si>
    <t>ד'</t>
  </si>
  <si>
    <t>ב' אייר</t>
  </si>
  <si>
    <t>מחיר מזוזה ברוטו</t>
  </si>
  <si>
    <t>ה'</t>
  </si>
  <si>
    <t>ג' אייר</t>
  </si>
  <si>
    <t>הוצאות מזוזה</t>
  </si>
  <si>
    <t>ו'</t>
  </si>
  <si>
    <t>ד' אייר</t>
  </si>
  <si>
    <t>מחיר מזוזה נטו</t>
  </si>
  <si>
    <t>א'</t>
  </si>
  <si>
    <t>ו' אייר</t>
  </si>
  <si>
    <t>מזוזות שנפסלות</t>
  </si>
  <si>
    <t>ב'</t>
  </si>
  <si>
    <t>ז' אייר</t>
  </si>
  <si>
    <t>ח' אייר</t>
  </si>
  <si>
    <t>ט' אייר</t>
  </si>
  <si>
    <t>י' אייר</t>
  </si>
  <si>
    <t>י"א אייר</t>
  </si>
  <si>
    <t>י"ב אייר</t>
  </si>
  <si>
    <t>י"ג אייר</t>
  </si>
  <si>
    <t>ט"ו אייר</t>
  </si>
  <si>
    <t>ט"ז אייר</t>
  </si>
  <si>
    <t>י"ז אייר</t>
  </si>
  <si>
    <t>י"ח אייר</t>
  </si>
  <si>
    <t>כ' אייר</t>
  </si>
  <si>
    <t>כ"א אייר</t>
  </si>
  <si>
    <t>כ"ב אייר</t>
  </si>
  <si>
    <t>כ"ג אייר</t>
  </si>
  <si>
    <t>כ"ד אייר</t>
  </si>
  <si>
    <t>כ"ה אייר</t>
  </si>
  <si>
    <t>כ"ז אייר</t>
  </si>
  <si>
    <t>כ"ח אייר</t>
  </si>
  <si>
    <t>כ"ט אייר</t>
  </si>
  <si>
    <t>סה"כ</t>
  </si>
  <si>
    <t>רווח ממוצע למזוזה</t>
  </si>
  <si>
    <t>שורות במזוזה</t>
  </si>
  <si>
    <t>חדר סופרים</t>
  </si>
  <si>
    <t>הגהות תפילין</t>
  </si>
  <si>
    <t>קלף תפילין</t>
  </si>
  <si>
    <t>מחיקות מזוזות</t>
  </si>
  <si>
    <t>הגהות מזוזות</t>
  </si>
  <si>
    <t>קלף מזוזות</t>
  </si>
  <si>
    <t>משקפיים</t>
  </si>
  <si>
    <t>תיקון סופרים</t>
  </si>
  <si>
    <t>דיו, מי קלף, ציוד</t>
  </si>
  <si>
    <t>תעודה</t>
  </si>
  <si>
    <t>קולמוס תש"ר</t>
  </si>
  <si>
    <t>קולמוס תש"י</t>
  </si>
  <si>
    <t>קולמוס מזוזות</t>
  </si>
  <si>
    <t>הוצאות שוטפות</t>
  </si>
  <si>
    <t>שולחן, כסא, פנס, מכשיר אדים</t>
  </si>
  <si>
    <t>קורס סת"ם</t>
  </si>
  <si>
    <t>הוצאות</t>
  </si>
  <si>
    <t>מוצר</t>
  </si>
  <si>
    <t>עמודה2</t>
  </si>
  <si>
    <t>עמודה1</t>
  </si>
  <si>
    <t>חדר סופרים 4</t>
  </si>
  <si>
    <t>חדר סופרים 3</t>
  </si>
  <si>
    <t>חדר סופרים 2</t>
  </si>
  <si>
    <t>חדר סופרים 1</t>
  </si>
  <si>
    <t>הכנסה נטו</t>
  </si>
  <si>
    <t>שם קונה</t>
  </si>
  <si>
    <t>סה"כ הכנסות כתיבה</t>
  </si>
  <si>
    <t>פרשת הקטורת</t>
  </si>
  <si>
    <t>מגילה 2</t>
  </si>
  <si>
    <t>מגילה 1</t>
  </si>
  <si>
    <t>הכנסה ברוטו</t>
  </si>
  <si>
    <t xml:space="preserve">קולמוס מגילות </t>
  </si>
  <si>
    <t>משלוחים ונסיעות</t>
  </si>
  <si>
    <t>קלף והגהות מגילות</t>
  </si>
  <si>
    <t>פלוני</t>
  </si>
  <si>
    <t>אלמוני</t>
  </si>
  <si>
    <t>10 מזוזות</t>
  </si>
  <si>
    <t>תפילין</t>
  </si>
  <si>
    <t>יעד יומי</t>
  </si>
  <si>
    <t>אפשר למלא נתונים לכל סוגי הסת"ם</t>
  </si>
  <si>
    <t>תאריך עברי</t>
  </si>
  <si>
    <t>קדש</t>
  </si>
  <si>
    <t>כי יביאך</t>
  </si>
  <si>
    <t>שמע</t>
  </si>
  <si>
    <t>אם שמע</t>
  </si>
  <si>
    <t>הכנסה נטו לשעה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</si>
</sst>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₪&quot;\ #,##0"/>
    <numFmt numFmtId="165" formatCode="0.0"/>
    <numFmt numFmtId="166" formatCode="0.0%"/>
    <numFmt numFmtId="167" formatCode="yyyy\-mm\-dd"/>
    <numFmt numFmtId="168" formatCode="[$-1010000]d\.m\.yy;@"/>
    <numFmt numFmtId="169" formatCode="&quot;₪&quot;\ #,##0.00"/>
  </numFmts>
  <fonts count="15" x14ac:knownFonts="1">
    <font>
      <sz val="11"/>
      <color rgb="FF595959"/>
      <name val="Tahoma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name val="Tahoma"/>
    </font>
    <font>
      <b/>
      <sz val="11"/>
      <name val="Arial"/>
      <family val="2"/>
      <charset val="177"/>
      <scheme val="minor"/>
    </font>
    <font>
      <b/>
      <sz val="11"/>
      <name val="Tahoma"/>
      <family val="2"/>
    </font>
    <font>
      <sz val="11"/>
      <name val="Arial"/>
      <family val="2"/>
      <scheme val="minor"/>
    </font>
    <font>
      <sz val="10"/>
      <color rgb="FF3D3D3D"/>
      <name val="Rubik"/>
    </font>
    <font>
      <sz val="11"/>
      <color theme="1"/>
      <name val="Tahoma"/>
    </font>
    <font>
      <b/>
      <sz val="11"/>
      <color rgb="FF595959"/>
      <name val="Tahoma"/>
      <family val="2"/>
    </font>
    <font>
      <sz val="11"/>
      <color rgb="FF595959"/>
      <name val="Tahoma"/>
      <family val="2"/>
    </font>
    <font>
      <b/>
      <sz val="12"/>
      <name val="Arial"/>
      <family val="2"/>
      <scheme val="minor"/>
    </font>
    <font>
      <sz val="11"/>
      <color theme="1"/>
      <name val="Tahoma"/>
      <family val="2"/>
    </font>
    <font>
      <b/>
      <sz val="48"/>
      <color rgb="FFFF0000"/>
      <name val="Arial"/>
      <family val="2"/>
      <scheme val="minor"/>
    </font>
    <font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1" fillId="0" borderId="1" xfId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5" fillId="0" borderId="4" xfId="0" applyFont="1" applyBorder="1"/>
    <xf numFmtId="167" fontId="6" fillId="5" borderId="0" xfId="1" applyNumberFormat="1" applyFont="1" applyFill="1" applyAlignment="1">
      <alignment horizontal="center" vertical="center" wrapText="1"/>
    </xf>
    <xf numFmtId="0" fontId="6" fillId="5" borderId="0" xfId="1" applyFont="1" applyFill="1" applyAlignment="1">
      <alignment horizontal="center" vertical="center" wrapText="1"/>
    </xf>
    <xf numFmtId="165" fontId="6" fillId="5" borderId="0" xfId="1" applyNumberFormat="1" applyFont="1" applyFill="1" applyAlignment="1">
      <alignment horizontal="center" vertical="center" wrapText="1"/>
    </xf>
    <xf numFmtId="0" fontId="1" fillId="0" borderId="0" xfId="1"/>
    <xf numFmtId="0" fontId="1" fillId="0" borderId="0" xfId="1" applyAlignment="1">
      <alignment horizontal="center" vertical="center"/>
    </xf>
    <xf numFmtId="168" fontId="0" fillId="0" borderId="0" xfId="0" applyNumberFormat="1" applyAlignment="1">
      <alignment horizontal="center"/>
    </xf>
    <xf numFmtId="165" fontId="1" fillId="0" borderId="0" xfId="1" applyNumberFormat="1" applyAlignment="1">
      <alignment horizontal="center" vertical="center"/>
    </xf>
    <xf numFmtId="166" fontId="1" fillId="0" borderId="0" xfId="1" applyNumberFormat="1" applyAlignment="1">
      <alignment horizontal="center" vertical="center"/>
    </xf>
    <xf numFmtId="0" fontId="1" fillId="0" borderId="1" xfId="1" applyBorder="1"/>
    <xf numFmtId="167" fontId="1" fillId="0" borderId="0" xfId="1" applyNumberFormat="1" applyAlignment="1">
      <alignment horizontal="center" vertical="center"/>
    </xf>
    <xf numFmtId="9" fontId="1" fillId="0" borderId="1" xfId="1" applyNumberFormat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6" borderId="1" xfId="1" applyFill="1" applyBorder="1"/>
    <xf numFmtId="9" fontId="1" fillId="0" borderId="0" xfId="1" applyNumberFormat="1"/>
    <xf numFmtId="0" fontId="7" fillId="0" borderId="0" xfId="0" applyFont="1"/>
    <xf numFmtId="0" fontId="9" fillId="0" borderId="0" xfId="0" applyFont="1"/>
    <xf numFmtId="164" fontId="0" fillId="0" borderId="0" xfId="0" applyNumberFormat="1"/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0" fillId="0" borderId="1" xfId="0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0" fillId="0" borderId="4" xfId="0" applyFont="1" applyBorder="1"/>
    <xf numFmtId="0" fontId="0" fillId="0" borderId="7" xfId="0" applyBorder="1"/>
    <xf numFmtId="0" fontId="0" fillId="0" borderId="6" xfId="0" applyBorder="1"/>
    <xf numFmtId="0" fontId="10" fillId="0" borderId="1" xfId="0" applyFont="1" applyBorder="1"/>
    <xf numFmtId="164" fontId="10" fillId="0" borderId="2" xfId="0" applyNumberFormat="1" applyFont="1" applyBorder="1" applyAlignment="1">
      <alignment horizontal="center"/>
    </xf>
    <xf numFmtId="0" fontId="12" fillId="0" borderId="10" xfId="0" applyFont="1" applyBorder="1"/>
    <xf numFmtId="164" fontId="8" fillId="0" borderId="8" xfId="0" applyNumberFormat="1" applyFont="1" applyBorder="1" applyAlignment="1">
      <alignment horizontal="center"/>
    </xf>
    <xf numFmtId="0" fontId="12" fillId="0" borderId="4" xfId="0" applyFont="1" applyBorder="1"/>
    <xf numFmtId="164" fontId="8" fillId="0" borderId="2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12" fillId="0" borderId="7" xfId="0" applyFont="1" applyBorder="1"/>
    <xf numFmtId="164" fontId="4" fillId="2" borderId="1" xfId="0" applyNumberFormat="1" applyFont="1" applyFill="1" applyBorder="1" applyAlignment="1">
      <alignment horizontal="center"/>
    </xf>
    <xf numFmtId="169" fontId="3" fillId="7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4" xfId="1" xr:uid="{014E92CA-9FC3-4F43-9F85-83D7DB4961CE}"/>
  </cellStyles>
  <dxfs count="6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fgColor auto="1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64" formatCode="&quot;₪&quot;\ 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numFmt numFmtId="164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₪&quot;\ 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₪&quot;\ 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8" formatCode="[$-1010000]d\.m\.yy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₪&quot;\ 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₪&quot;\ 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6" formatCode="0.0%"/>
      <alignment horizontal="center" vertical="bottom" textRotation="0" wrapText="0" indent="0" justifyLastLine="0" shrinkToFit="0" readingOrder="0"/>
    </dxf>
    <dxf>
      <numFmt numFmtId="166" formatCode="0.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6" formatCode="0.0%"/>
      <alignment horizontal="center" vertical="bottom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numFmt numFmtId="165" formatCode="0.0"/>
      <alignment horizontal="center" vertical="bottom" textRotation="0" wrapText="0" indent="0" justifyLastLine="0" shrinkToFit="0" readingOrder="0"/>
    </dxf>
    <dxf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177"/>
        <scheme val="minor"/>
      </font>
      <alignment horizontal="center" vertical="bottom" textRotation="0" wrapText="0" indent="0" justifyLastLine="0" shrinkToFit="0" readingOrder="0"/>
    </dxf>
    <dxf>
      <numFmt numFmtId="167" formatCode="yyyy\-mm\-dd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rgb="FFDCE6F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514046-970A-4B47-9A58-F3F7C1281D61}" name="טבלה2" displayName="טבלה2" ref="B17:M43" totalsRowCount="1" headerRowDxfId="67" dataDxfId="66" totalsRowDxfId="65">
  <autoFilter ref="B17:M42" xr:uid="{BFB663A4-0842-4A05-B40A-61D4C35DE15F}"/>
  <sortState xmlns:xlrd2="http://schemas.microsoft.com/office/spreadsheetml/2017/richdata2" ref="B18:M42">
    <sortCondition ref="D17:D42"/>
  </sortState>
  <tableColumns count="12">
    <tableColumn id="1" xr3:uid="{E459E582-CDAD-4AA5-9760-DFC272556DC5}" name="יום בשבוע" totalsRowLabel="סה&quot;כ" dataDxfId="64" totalsRowDxfId="63"/>
    <tableColumn id="11" xr3:uid="{68A98A2A-5615-4642-BEDE-EC0A07BC2180}" name="תאריך לועזי" totalsRowDxfId="62"/>
    <tableColumn id="13" xr3:uid="{961C10E2-0EF0-438F-BE8E-BDC10CCA584A}" name="תאריך עברי" dataDxfId="61" totalsRowDxfId="60"/>
    <tableColumn id="2" xr3:uid="{167B16B1-84FB-4399-B6AF-D183B3C4959B}" name="שורות שכתבתי" totalsRowFunction="sum" dataDxfId="59" totalsRowDxfId="58"/>
    <tableColumn id="3" xr3:uid="{9621CECB-B1B0-4EA6-9F05-0FFFCBF395E9}" name="שעות עבודה" totalsRowFunction="sum" dataDxfId="57" totalsRowDxfId="56"/>
    <tableColumn id="4" xr3:uid="{692C8A53-43B6-4079-9158-91B825700D88}" name="הערות" dataDxfId="55" totalsRowDxfId="54"/>
    <tableColumn id="5" xr3:uid="{2E425C1D-2DBB-45D6-9DDE-450FFC3B0FA0}" name="דקות לשורה" totalsRowFunction="average" dataDxfId="53" totalsRowDxfId="52">
      <calculatedColumnFormula>IF(E18&gt;0, F18/E18, 0)*60</calculatedColumnFormula>
    </tableColumn>
    <tableColumn id="6" xr3:uid="{2F5BBC71-8EB1-4E7C-837D-56154E1AD5BE}" name="מזוזות ביום" totalsRowFunction="sum" dataDxfId="51" totalsRowDxfId="50">
      <calculatedColumnFormula>E18/$D$9</calculatedColumnFormula>
    </tableColumn>
    <tableColumn id="8" xr3:uid="{1FB9C8AF-EA4A-42AD-B722-99E6DC35B41E}" name="הכנסות נטו" totalsRowFunction="sum" dataDxfId="49" totalsRowDxfId="48">
      <calculatedColumnFormula>טבלה2[[#This Row],[מזוזות ביום]]*$D$8</calculatedColumnFormula>
    </tableColumn>
    <tableColumn id="12" xr3:uid="{31000ED9-3088-4D93-B56D-D8D83AD27D42}" name="אחוז מהיעד היומי" totalsRowFunction="custom" dataDxfId="47" totalsRowDxfId="46">
      <calculatedColumnFormula>טבלה2[[#This Row],[הכנסות נטו]]/$C$13</calculatedColumnFormula>
      <totalsRowFormula>AVERAGEIF(טבלה2[אחוז מהיעד היומי], "&gt;0")</totalsRowFormula>
    </tableColumn>
    <tableColumn id="14" xr3:uid="{C833634E-7F48-4D06-B0AE-75F694D7253F}" name="אחוז מהיעד החודשי" totalsRowFunction="custom" dataDxfId="45" totalsRowDxfId="44" dataCellStyle="Normal 4">
      <calculatedColumnFormula>טבלה2[[#This Row],[הכנסות נטו]]/$C$12</calculatedColumnFormula>
      <totalsRowFormula>SUM(L18:L42)</totalsRowFormula>
    </tableColumn>
    <tableColumn id="15" xr3:uid="{C4CB9228-D41F-46D7-890D-C6357411A646}" name="נשאר להשלים" totalsRowFunction="sum" dataDxfId="43" totalsRowDxfId="42">
      <calculatedColumnFormula>$E$13-טבלה2[[#This Row],[שורות שכתבתי]]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90AC47-6010-4D95-B9F2-981539D87345}" name="הוצאות_סתם_2" displayName="הוצאות_סתם_2" ref="B12:D32" totalsRowCount="1" headerRowDxfId="41" dataDxfId="39" totalsRowDxfId="37" headerRowBorderDxfId="40" tableBorderDxfId="38" totalsRowBorderDxfId="36">
  <autoFilter ref="B12:D31" xr:uid="{0C90AC47-6010-4D95-B9F2-981539D87345}"/>
  <tableColumns count="3">
    <tableColumn id="1" xr3:uid="{20428B02-2108-4AC8-96CB-50F69213DA0C}" name="מוצר" totalsRowLabel="סה&quot;כ" dataDxfId="35" totalsRowDxfId="34"/>
    <tableColumn id="2" xr3:uid="{E772A2FE-80A4-4193-A379-1C9E654FBF52}" name="תאריך" dataDxfId="33" totalsRowDxfId="32"/>
    <tableColumn id="4" xr3:uid="{6906F9FF-FFDF-4198-926C-A87BA47CA174}" name="הוצאות" totalsRowFunction="sum" dataDxfId="31" totalsRowDxfId="3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854A8B-91B1-4821-B781-7F3E1D460D93}" name="הכנסות_סתם" displayName="הכנסות_סתם" ref="B2:F10" totalsRowCount="1" headerRowDxfId="29" dataDxfId="27" totalsRowDxfId="25" headerRowBorderDxfId="28" tableBorderDxfId="26" totalsRowBorderDxfId="24">
  <autoFilter ref="B2:F9" xr:uid="{6B854A8B-91B1-4821-B781-7F3E1D460D93}"/>
  <tableColumns count="5">
    <tableColumn id="1" xr3:uid="{2E8D2024-9827-41C8-83EB-0B2C695D3CEA}" name="מוצר" totalsRowLabel="סה&quot;כ" dataDxfId="23" totalsRowDxfId="22"/>
    <tableColumn id="4" xr3:uid="{CC9518CE-4FF8-4B1A-AB87-1B74347B615F}" name="תאריך" dataDxfId="21" totalsRowDxfId="20"/>
    <tableColumn id="6" xr3:uid="{928AC95A-592A-45E8-B2A9-138AAED592A7}" name="שם קונה" dataDxfId="19" totalsRowDxfId="18"/>
    <tableColumn id="11" xr3:uid="{3DE4B094-D2A8-419F-8F25-E95D242B43E2}" name="הכנסה ברוטו" totalsRowFunction="sum" dataDxfId="17" totalsRowDxfId="16"/>
    <tableColumn id="12" xr3:uid="{C3310E74-3114-4BE2-91CA-8E3BB8BE46B4}" name="הכנסה נטו" totalsRowFunction="sum" dataDxfId="15" totalsRow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3A45FD7-8B14-48AB-A3CA-F92F359319F0}" name="חדר_סופרים" displayName="חדר_סופרים" ref="F13:G20" totalsRowCount="1" headerRowDxfId="13" dataDxfId="11" totalsRowDxfId="9" headerRowBorderDxfId="12" tableBorderDxfId="10" totalsRowBorderDxfId="8">
  <autoFilter ref="F13:G19" xr:uid="{BAABF594-D664-49AD-8D83-348ADD3D79E8}"/>
  <tableColumns count="2">
    <tableColumn id="1" xr3:uid="{8B79D2F9-66E3-463D-A35B-B7AAF8D0D048}" name="עמודה1" totalsRowLabel="סה&quot;כ" dataDxfId="7" totalsRowDxfId="6"/>
    <tableColumn id="2" xr3:uid="{64170FF7-7CA7-4762-B934-4B6B52CD3663}" name="עמודה2" totalsRowFunction="sum" dataDxfId="5" totalsRowDxfId="4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94961-9008-480E-A9CB-B8C52C69BC0E}">
  <sheetPr codeName="גיליון4"/>
  <dimension ref="B2:W51"/>
  <sheetViews>
    <sheetView showGridLines="0" rightToLeft="1" tabSelected="1" workbookViewId="0">
      <selection activeCell="H4" sqref="H4"/>
    </sheetView>
  </sheetViews>
  <sheetFormatPr defaultRowHeight="13.8" x14ac:dyDescent="0.25"/>
  <cols>
    <col min="1" max="1" width="3.19921875" customWidth="1"/>
    <col min="3" max="3" width="18" bestFit="1" customWidth="1"/>
    <col min="4" max="4" width="11.5" customWidth="1"/>
    <col min="8" max="8" width="18.8984375" customWidth="1"/>
    <col min="11" max="11" width="16.3984375" customWidth="1"/>
    <col min="12" max="12" width="12.09765625" customWidth="1"/>
    <col min="15" max="15" width="2.09765625" customWidth="1"/>
    <col min="16" max="16" width="14.5" customWidth="1"/>
    <col min="17" max="17" width="9" bestFit="1" customWidth="1"/>
  </cols>
  <sheetData>
    <row r="2" spans="2:12" x14ac:dyDescent="0.25">
      <c r="C2" s="61" t="s">
        <v>102</v>
      </c>
      <c r="D2" s="61"/>
    </row>
    <row r="3" spans="2:12" x14ac:dyDescent="0.25">
      <c r="C3" s="20" t="s">
        <v>26</v>
      </c>
      <c r="D3" s="20">
        <v>25</v>
      </c>
      <c r="K3" s="45"/>
      <c r="L3" s="45" t="s">
        <v>2</v>
      </c>
    </row>
    <row r="4" spans="2:12" x14ac:dyDescent="0.25">
      <c r="C4" s="20" t="s">
        <v>29</v>
      </c>
      <c r="D4" s="20">
        <v>500</v>
      </c>
      <c r="K4" s="45" t="s">
        <v>104</v>
      </c>
      <c r="L4" s="45">
        <v>16</v>
      </c>
    </row>
    <row r="5" spans="2:12" x14ac:dyDescent="0.25">
      <c r="C5" s="20" t="s">
        <v>32</v>
      </c>
      <c r="D5" s="20">
        <f>15+50</f>
        <v>65</v>
      </c>
      <c r="K5" s="45" t="s">
        <v>105</v>
      </c>
      <c r="L5" s="45">
        <v>12</v>
      </c>
    </row>
    <row r="6" spans="2:12" x14ac:dyDescent="0.25">
      <c r="C6" s="20" t="s">
        <v>35</v>
      </c>
      <c r="D6" s="20">
        <f>D4-D5</f>
        <v>435</v>
      </c>
      <c r="K6" s="45" t="s">
        <v>106</v>
      </c>
      <c r="L6" s="45">
        <v>7</v>
      </c>
    </row>
    <row r="7" spans="2:12" x14ac:dyDescent="0.25">
      <c r="C7" s="20" t="s">
        <v>38</v>
      </c>
      <c r="D7" s="22">
        <v>0.05</v>
      </c>
      <c r="K7" s="45" t="s">
        <v>107</v>
      </c>
      <c r="L7" s="45">
        <v>17</v>
      </c>
    </row>
    <row r="8" spans="2:12" x14ac:dyDescent="0.25">
      <c r="C8" s="20" t="s">
        <v>61</v>
      </c>
      <c r="D8" s="26">
        <f>D4*(1 - D7) - D5</f>
        <v>410</v>
      </c>
      <c r="K8" s="45" t="s">
        <v>60</v>
      </c>
      <c r="L8" s="45">
        <f>SUM(L4:L7)</f>
        <v>52</v>
      </c>
    </row>
    <row r="9" spans="2:12" x14ac:dyDescent="0.25">
      <c r="C9" s="20" t="s">
        <v>62</v>
      </c>
      <c r="D9" s="20">
        <v>22</v>
      </c>
    </row>
    <row r="10" spans="2:12" x14ac:dyDescent="0.25">
      <c r="H10" s="3" t="s">
        <v>108</v>
      </c>
      <c r="I10" s="58">
        <f>L12/I12</f>
        <v>149.09090909090907</v>
      </c>
      <c r="J10" s="1"/>
      <c r="K10" s="1"/>
    </row>
    <row r="11" spans="2:12" x14ac:dyDescent="0.25">
      <c r="B11" s="2"/>
      <c r="C11" s="2" t="s">
        <v>0</v>
      </c>
      <c r="D11" s="2" t="s">
        <v>1</v>
      </c>
      <c r="E11" s="2" t="s">
        <v>2</v>
      </c>
      <c r="H11" s="3" t="s">
        <v>3</v>
      </c>
      <c r="I11" s="4">
        <f>SUBTOTAL(109,טבלה2[שורות שכתבתי])</f>
        <v>80</v>
      </c>
      <c r="J11" s="1"/>
    </row>
    <row r="12" spans="2:12" x14ac:dyDescent="0.25">
      <c r="B12" s="2" t="s">
        <v>6</v>
      </c>
      <c r="C12" s="5">
        <v>10000</v>
      </c>
      <c r="D12" s="6">
        <f>C12/$D$8</f>
        <v>24.390243902439025</v>
      </c>
      <c r="E12" s="6">
        <f>D12*$D$9</f>
        <v>536.58536585365857</v>
      </c>
      <c r="H12" s="3" t="s">
        <v>4</v>
      </c>
      <c r="I12" s="4">
        <f>SUBTOTAL(109,טבלה2[שעות עבודה])</f>
        <v>10</v>
      </c>
      <c r="J12" s="1"/>
      <c r="K12" s="3" t="s">
        <v>5</v>
      </c>
      <c r="L12" s="57">
        <f>SUBTOTAL(109,טבלה2[הכנסות נטו])</f>
        <v>1490.9090909090908</v>
      </c>
    </row>
    <row r="13" spans="2:12" x14ac:dyDescent="0.25">
      <c r="B13" s="2" t="s">
        <v>101</v>
      </c>
      <c r="C13" s="5">
        <f>C12/$D$3</f>
        <v>400</v>
      </c>
      <c r="D13" s="6">
        <f>C13/$D$8</f>
        <v>0.97560975609756095</v>
      </c>
      <c r="E13" s="6">
        <f>D13*$D$9</f>
        <v>21.463414634146339</v>
      </c>
      <c r="H13" s="3" t="s">
        <v>7</v>
      </c>
      <c r="I13" s="7">
        <f>IFERROR(AVERAGEIF(טבלה2[דקות לשורה], "&gt;0"), 0)</f>
        <v>7.55</v>
      </c>
      <c r="J13" s="1"/>
      <c r="K13" s="3" t="s">
        <v>8</v>
      </c>
      <c r="L13" s="8">
        <f>IFERROR(AVERAGEIF(טבלה2[אחוז מהיעד היומי], "&gt;0"), 0)</f>
        <v>0.93181818181818177</v>
      </c>
    </row>
    <row r="14" spans="2:12" x14ac:dyDescent="0.25">
      <c r="H14" s="3" t="s">
        <v>9</v>
      </c>
      <c r="I14" s="9">
        <f>SUBTOTAL(109,טבלה2[מזוזות ביום])</f>
        <v>3.6363636363636362</v>
      </c>
      <c r="J14" s="1"/>
      <c r="K14" s="3" t="s">
        <v>10</v>
      </c>
      <c r="L14" s="8">
        <f>SUM(טבלה2[אחוז מהיעד החודשי])</f>
        <v>0.14909090909090908</v>
      </c>
    </row>
    <row r="15" spans="2:12" x14ac:dyDescent="0.25">
      <c r="B15" s="59" t="s">
        <v>11</v>
      </c>
      <c r="C15" s="60"/>
      <c r="D15" s="10">
        <f>SUMIF(E18:E42, "&lt;&gt;", M18:M42)</f>
        <v>5.8536585365853568</v>
      </c>
      <c r="E15" s="11" t="s">
        <v>2</v>
      </c>
      <c r="H15" s="3" t="s">
        <v>12</v>
      </c>
      <c r="I15" s="7">
        <f>I14*(1-$D$7)</f>
        <v>3.4545454545454541</v>
      </c>
      <c r="J15" s="1"/>
    </row>
    <row r="17" spans="2:22" s="15" customFormat="1" ht="48" customHeight="1" x14ac:dyDescent="0.25">
      <c r="B17" s="12" t="s">
        <v>13</v>
      </c>
      <c r="C17" s="12" t="s">
        <v>14</v>
      </c>
      <c r="D17" s="12" t="s">
        <v>103</v>
      </c>
      <c r="E17" s="13" t="s">
        <v>16</v>
      </c>
      <c r="F17" s="13" t="s">
        <v>17</v>
      </c>
      <c r="G17" s="13" t="s">
        <v>18</v>
      </c>
      <c r="H17" s="14" t="s">
        <v>19</v>
      </c>
      <c r="I17" s="14" t="s">
        <v>20</v>
      </c>
      <c r="J17" s="14" t="s">
        <v>21</v>
      </c>
      <c r="K17" s="13" t="s">
        <v>22</v>
      </c>
      <c r="L17" s="13" t="s">
        <v>23</v>
      </c>
      <c r="M17" s="13" t="s">
        <v>11</v>
      </c>
      <c r="T17"/>
      <c r="U17"/>
      <c r="V17"/>
    </row>
    <row r="18" spans="2:22" s="15" customFormat="1" x14ac:dyDescent="0.25">
      <c r="B18" s="16" t="s">
        <v>24</v>
      </c>
      <c r="C18" s="17">
        <v>45776</v>
      </c>
      <c r="D18" s="16" t="s">
        <v>25</v>
      </c>
      <c r="E18" s="16">
        <v>20</v>
      </c>
      <c r="F18" s="16">
        <v>2</v>
      </c>
      <c r="G18"/>
      <c r="H18" s="18">
        <f t="shared" ref="H18:H42" si="0">IF(E18&gt;0, F18/E18, 0)*60</f>
        <v>6</v>
      </c>
      <c r="I18" s="18">
        <f t="shared" ref="I18:I42" si="1">E18/$D$9</f>
        <v>0.90909090909090906</v>
      </c>
      <c r="J18" s="18">
        <f>טבלה2[[#This Row],[מזוזות ביום]]*$D$8</f>
        <v>372.72727272727269</v>
      </c>
      <c r="K18" s="19">
        <f>טבלה2[[#This Row],[הכנסות נטו]]/$C$13</f>
        <v>0.93181818181818177</v>
      </c>
      <c r="L18" s="19">
        <f>טבלה2[[#This Row],[הכנסות נטו]]/$C$12</f>
        <v>3.727272727272727E-2</v>
      </c>
      <c r="M18" s="18">
        <f>$E$13-טבלה2[[#This Row],[שורות שכתבתי]]</f>
        <v>1.4634146341463392</v>
      </c>
      <c r="T18"/>
      <c r="U18"/>
      <c r="V18"/>
    </row>
    <row r="19" spans="2:22" s="15" customFormat="1" x14ac:dyDescent="0.25">
      <c r="B19" s="21" t="s">
        <v>27</v>
      </c>
      <c r="C19" s="17">
        <v>45777</v>
      </c>
      <c r="D19" s="16" t="s">
        <v>28</v>
      </c>
      <c r="E19" s="16">
        <v>25</v>
      </c>
      <c r="F19" s="16">
        <v>3</v>
      </c>
      <c r="G19"/>
      <c r="H19" s="18">
        <f t="shared" si="0"/>
        <v>7.1999999999999993</v>
      </c>
      <c r="I19" s="18">
        <f t="shared" si="1"/>
        <v>1.1363636363636365</v>
      </c>
      <c r="J19" s="18">
        <f>טבלה2[[#This Row],[מזוזות ביום]]*$D$8</f>
        <v>465.90909090909093</v>
      </c>
      <c r="K19" s="19">
        <f>טבלה2[[#This Row],[הכנסות נטו]]/$C$13</f>
        <v>1.1647727272727273</v>
      </c>
      <c r="L19" s="19">
        <f>טבלה2[[#This Row],[הכנסות נטו]]/$C$12</f>
        <v>4.6590909090909093E-2</v>
      </c>
      <c r="M19" s="18">
        <f>$E$13-טבלה2[[#This Row],[שורות שכתבתי]]</f>
        <v>-3.5365853658536608</v>
      </c>
      <c r="T19"/>
      <c r="U19"/>
      <c r="V19"/>
    </row>
    <row r="20" spans="2:22" s="15" customFormat="1" x14ac:dyDescent="0.25">
      <c r="B20" s="21" t="s">
        <v>30</v>
      </c>
      <c r="C20" s="17">
        <v>45778</v>
      </c>
      <c r="D20" s="16" t="s">
        <v>31</v>
      </c>
      <c r="E20" s="16">
        <v>20</v>
      </c>
      <c r="F20" s="16">
        <v>3</v>
      </c>
      <c r="G20"/>
      <c r="H20" s="18">
        <f t="shared" si="0"/>
        <v>9</v>
      </c>
      <c r="I20" s="18">
        <f t="shared" si="1"/>
        <v>0.90909090909090906</v>
      </c>
      <c r="J20" s="18">
        <f>טבלה2[[#This Row],[מזוזות ביום]]*$D$8</f>
        <v>372.72727272727269</v>
      </c>
      <c r="K20" s="19">
        <f>טבלה2[[#This Row],[הכנסות נטו]]/$C$13</f>
        <v>0.93181818181818177</v>
      </c>
      <c r="L20" s="19">
        <f>טבלה2[[#This Row],[הכנסות נטו]]/$C$12</f>
        <v>3.727272727272727E-2</v>
      </c>
      <c r="M20" s="18">
        <f>$E$13-טבלה2[[#This Row],[שורות שכתבתי]]</f>
        <v>1.4634146341463392</v>
      </c>
      <c r="T20"/>
      <c r="U20"/>
      <c r="V20"/>
    </row>
    <row r="21" spans="2:22" s="15" customFormat="1" x14ac:dyDescent="0.25">
      <c r="B21" s="21" t="s">
        <v>33</v>
      </c>
      <c r="C21" s="17">
        <v>45779</v>
      </c>
      <c r="D21" s="16" t="s">
        <v>34</v>
      </c>
      <c r="E21" s="16">
        <v>15</v>
      </c>
      <c r="F21" s="16">
        <v>2</v>
      </c>
      <c r="G21"/>
      <c r="H21" s="18">
        <f>IF(E21&gt;0, F21/E21, 0)*60</f>
        <v>8</v>
      </c>
      <c r="I21" s="18">
        <f t="shared" si="1"/>
        <v>0.68181818181818177</v>
      </c>
      <c r="J21" s="18">
        <f>טבלה2[[#This Row],[מזוזות ביום]]*$D$8</f>
        <v>279.5454545454545</v>
      </c>
      <c r="K21" s="19">
        <f>טבלה2[[#This Row],[הכנסות נטו]]/$C$13</f>
        <v>0.69886363636363624</v>
      </c>
      <c r="L21" s="19">
        <f>טבלה2[[#This Row],[הכנסות נטו]]/$C$12</f>
        <v>2.7954545454545451E-2</v>
      </c>
      <c r="M21" s="18">
        <f>$E$13-טבלה2[[#This Row],[שורות שכתבתי]]</f>
        <v>6.4634146341463392</v>
      </c>
      <c r="T21"/>
      <c r="U21"/>
      <c r="V21"/>
    </row>
    <row r="22" spans="2:22" s="15" customFormat="1" x14ac:dyDescent="0.25">
      <c r="B22" s="21" t="s">
        <v>36</v>
      </c>
      <c r="C22" s="17">
        <v>45781</v>
      </c>
      <c r="D22" s="16" t="s">
        <v>37</v>
      </c>
      <c r="E22" s="16"/>
      <c r="F22" s="16"/>
      <c r="G22" s="16"/>
      <c r="H22" s="18">
        <f t="shared" si="0"/>
        <v>0</v>
      </c>
      <c r="I22" s="18">
        <f t="shared" si="1"/>
        <v>0</v>
      </c>
      <c r="J22" s="18">
        <f>טבלה2[[#This Row],[מזוזות ביום]]*$D$8</f>
        <v>0</v>
      </c>
      <c r="K22" s="19">
        <f>טבלה2[[#This Row],[הכנסות נטו]]/$C$13</f>
        <v>0</v>
      </c>
      <c r="L22" s="19">
        <f>טבלה2[[#This Row],[הכנסות נטו]]/$C$12</f>
        <v>0</v>
      </c>
      <c r="M22" s="18">
        <f>$E$13-טבלה2[[#This Row],[שורות שכתבתי]]</f>
        <v>21.463414634146339</v>
      </c>
      <c r="T22"/>
      <c r="U22"/>
      <c r="V22"/>
    </row>
    <row r="23" spans="2:22" s="15" customFormat="1" ht="13.8" customHeight="1" x14ac:dyDescent="0.25">
      <c r="B23" s="21" t="s">
        <v>39</v>
      </c>
      <c r="C23" s="17">
        <v>45782</v>
      </c>
      <c r="D23" s="16" t="s">
        <v>40</v>
      </c>
      <c r="E23" s="16"/>
      <c r="F23" s="16"/>
      <c r="G23" s="16"/>
      <c r="H23" s="18">
        <f t="shared" si="0"/>
        <v>0</v>
      </c>
      <c r="I23" s="18">
        <f t="shared" si="1"/>
        <v>0</v>
      </c>
      <c r="J23" s="18">
        <f>טבלה2[[#This Row],[מזוזות ביום]]*$D$8</f>
        <v>0</v>
      </c>
      <c r="K23" s="19">
        <f>טבלה2[[#This Row],[הכנסות נטו]]/$C$13</f>
        <v>0</v>
      </c>
      <c r="L23" s="19">
        <f>טבלה2[[#This Row],[הכנסות נטו]]/$C$12</f>
        <v>0</v>
      </c>
      <c r="M23" s="18">
        <f>$E$13-טבלה2[[#This Row],[שורות שכתבתי]]</f>
        <v>21.463414634146339</v>
      </c>
      <c r="T23"/>
      <c r="U23"/>
      <c r="V23"/>
    </row>
    <row r="24" spans="2:22" s="15" customFormat="1" ht="13.8" customHeight="1" x14ac:dyDescent="0.25">
      <c r="B24" s="16" t="s">
        <v>24</v>
      </c>
      <c r="C24" s="17">
        <v>45783</v>
      </c>
      <c r="D24" s="16" t="s">
        <v>41</v>
      </c>
      <c r="E24" s="16"/>
      <c r="F24" s="16"/>
      <c r="G24" s="16"/>
      <c r="H24" s="18">
        <f t="shared" si="0"/>
        <v>0</v>
      </c>
      <c r="I24" s="18">
        <f t="shared" si="1"/>
        <v>0</v>
      </c>
      <c r="J24" s="18">
        <f>טבלה2[[#This Row],[מזוזות ביום]]*$D$8</f>
        <v>0</v>
      </c>
      <c r="K24" s="19">
        <f>טבלה2[[#This Row],[הכנסות נטו]]/$C$13</f>
        <v>0</v>
      </c>
      <c r="L24" s="19">
        <f>טבלה2[[#This Row],[הכנסות נטו]]/$C$12</f>
        <v>0</v>
      </c>
      <c r="M24" s="18">
        <f>$E$13-טבלה2[[#This Row],[שורות שכתבתי]]</f>
        <v>21.463414634146339</v>
      </c>
      <c r="T24"/>
      <c r="U24"/>
      <c r="V24"/>
    </row>
    <row r="25" spans="2:22" s="15" customFormat="1" x14ac:dyDescent="0.25">
      <c r="B25" s="21" t="s">
        <v>27</v>
      </c>
      <c r="C25" s="17">
        <v>45784</v>
      </c>
      <c r="D25" s="16" t="s">
        <v>42</v>
      </c>
      <c r="E25" s="16"/>
      <c r="F25" s="16"/>
      <c r="G25" s="16"/>
      <c r="H25" s="18">
        <f t="shared" si="0"/>
        <v>0</v>
      </c>
      <c r="I25" s="18">
        <f t="shared" si="1"/>
        <v>0</v>
      </c>
      <c r="J25" s="18">
        <f>טבלה2[[#This Row],[מזוזות ביום]]*$D$8</f>
        <v>0</v>
      </c>
      <c r="K25" s="19">
        <f>טבלה2[[#This Row],[הכנסות נטו]]/$C$13</f>
        <v>0</v>
      </c>
      <c r="L25" s="19">
        <f>טבלה2[[#This Row],[הכנסות נטו]]/$C$12</f>
        <v>0</v>
      </c>
      <c r="M25" s="18">
        <f>$E$13-טבלה2[[#This Row],[שורות שכתבתי]]</f>
        <v>21.463414634146339</v>
      </c>
      <c r="P25"/>
      <c r="Q25"/>
      <c r="T25"/>
      <c r="U25"/>
      <c r="V25"/>
    </row>
    <row r="26" spans="2:22" s="15" customFormat="1" x14ac:dyDescent="0.25">
      <c r="B26" s="21" t="s">
        <v>30</v>
      </c>
      <c r="C26" s="17">
        <v>45785</v>
      </c>
      <c r="D26" s="16" t="s">
        <v>43</v>
      </c>
      <c r="E26" s="16"/>
      <c r="F26" s="16"/>
      <c r="G26" s="16"/>
      <c r="H26" s="18">
        <f t="shared" si="0"/>
        <v>0</v>
      </c>
      <c r="I26" s="18">
        <f t="shared" si="1"/>
        <v>0</v>
      </c>
      <c r="J26" s="18">
        <f>טבלה2[[#This Row],[מזוזות ביום]]*$D$8</f>
        <v>0</v>
      </c>
      <c r="K26" s="19">
        <f>טבלה2[[#This Row],[הכנסות נטו]]/$C$13</f>
        <v>0</v>
      </c>
      <c r="L26" s="19">
        <f>טבלה2[[#This Row],[הכנסות נטו]]/$C$12</f>
        <v>0</v>
      </c>
      <c r="M26" s="18">
        <f>$E$13-טבלה2[[#This Row],[שורות שכתבתי]]</f>
        <v>21.463414634146339</v>
      </c>
      <c r="P26"/>
      <c r="Q26"/>
      <c r="T26"/>
      <c r="U26"/>
      <c r="V26"/>
    </row>
    <row r="27" spans="2:22" s="15" customFormat="1" x14ac:dyDescent="0.25">
      <c r="B27" s="21" t="s">
        <v>33</v>
      </c>
      <c r="C27" s="17">
        <v>45786</v>
      </c>
      <c r="D27" s="16" t="s">
        <v>44</v>
      </c>
      <c r="E27" s="16"/>
      <c r="F27" s="16"/>
      <c r="G27" s="16"/>
      <c r="H27" s="18">
        <f t="shared" si="0"/>
        <v>0</v>
      </c>
      <c r="I27" s="18">
        <f t="shared" si="1"/>
        <v>0</v>
      </c>
      <c r="J27" s="18">
        <f>טבלה2[[#This Row],[מזוזות ביום]]*$D$8</f>
        <v>0</v>
      </c>
      <c r="K27" s="19">
        <f>טבלה2[[#This Row],[הכנסות נטו]]/$C$13</f>
        <v>0</v>
      </c>
      <c r="L27" s="19">
        <f>טבלה2[[#This Row],[הכנסות נטו]]/$C$12</f>
        <v>0</v>
      </c>
      <c r="M27" s="18">
        <f>$E$13-טבלה2[[#This Row],[שורות שכתבתי]]</f>
        <v>21.463414634146339</v>
      </c>
      <c r="P27"/>
      <c r="Q27"/>
      <c r="T27"/>
      <c r="U27"/>
      <c r="V27"/>
    </row>
    <row r="28" spans="2:22" s="15" customFormat="1" x14ac:dyDescent="0.25">
      <c r="B28" s="21" t="s">
        <v>36</v>
      </c>
      <c r="C28" s="17">
        <v>45788</v>
      </c>
      <c r="D28" s="16" t="s">
        <v>45</v>
      </c>
      <c r="E28" s="16"/>
      <c r="F28" s="16"/>
      <c r="G28" s="16"/>
      <c r="H28" s="18">
        <f t="shared" si="0"/>
        <v>0</v>
      </c>
      <c r="I28" s="18">
        <f t="shared" si="1"/>
        <v>0</v>
      </c>
      <c r="J28" s="18">
        <f>טבלה2[[#This Row],[מזוזות ביום]]*$D$8</f>
        <v>0</v>
      </c>
      <c r="K28" s="19">
        <f>טבלה2[[#This Row],[הכנסות נטו]]/$C$13</f>
        <v>0</v>
      </c>
      <c r="L28" s="19">
        <f>טבלה2[[#This Row],[הכנסות נטו]]/$C$12</f>
        <v>0</v>
      </c>
      <c r="M28" s="18">
        <f>$E$13-טבלה2[[#This Row],[שורות שכתבתי]]</f>
        <v>21.463414634146339</v>
      </c>
      <c r="P28"/>
      <c r="Q28"/>
      <c r="T28"/>
      <c r="U28"/>
      <c r="V28"/>
    </row>
    <row r="29" spans="2:22" s="15" customFormat="1" x14ac:dyDescent="0.25">
      <c r="B29" s="21" t="s">
        <v>39</v>
      </c>
      <c r="C29" s="17">
        <v>45789</v>
      </c>
      <c r="D29" s="16" t="s">
        <v>46</v>
      </c>
      <c r="E29" s="16"/>
      <c r="F29" s="16"/>
      <c r="G29" s="16"/>
      <c r="H29" s="18">
        <f t="shared" si="0"/>
        <v>0</v>
      </c>
      <c r="I29" s="18">
        <f t="shared" si="1"/>
        <v>0</v>
      </c>
      <c r="J29" s="18">
        <f>טבלה2[[#This Row],[מזוזות ביום]]*$D$8</f>
        <v>0</v>
      </c>
      <c r="K29" s="19">
        <f>טבלה2[[#This Row],[הכנסות נטו]]/$C$13</f>
        <v>0</v>
      </c>
      <c r="L29" s="19">
        <f>טבלה2[[#This Row],[הכנסות נטו]]/$C$12</f>
        <v>0</v>
      </c>
      <c r="M29" s="18">
        <f>$E$13-טבלה2[[#This Row],[שורות שכתבתי]]</f>
        <v>21.463414634146339</v>
      </c>
      <c r="P29"/>
      <c r="Q29"/>
      <c r="T29"/>
      <c r="U29"/>
      <c r="V29"/>
    </row>
    <row r="30" spans="2:22" s="15" customFormat="1" x14ac:dyDescent="0.25">
      <c r="B30" s="16" t="s">
        <v>24</v>
      </c>
      <c r="C30" s="17">
        <v>45790</v>
      </c>
      <c r="D30" s="16" t="s">
        <v>47</v>
      </c>
      <c r="E30" s="16"/>
      <c r="F30" s="16"/>
      <c r="G30" s="16"/>
      <c r="H30" s="18">
        <f t="shared" si="0"/>
        <v>0</v>
      </c>
      <c r="I30" s="18">
        <f t="shared" si="1"/>
        <v>0</v>
      </c>
      <c r="J30" s="18">
        <f>טבלה2[[#This Row],[מזוזות ביום]]*$D$8</f>
        <v>0</v>
      </c>
      <c r="K30" s="19">
        <f>טבלה2[[#This Row],[הכנסות נטו]]/$C$13</f>
        <v>0</v>
      </c>
      <c r="L30" s="19">
        <f>טבלה2[[#This Row],[הכנסות נטו]]/$C$12</f>
        <v>0</v>
      </c>
      <c r="M30" s="18">
        <f>$E$13-טבלה2[[#This Row],[שורות שכתבתי]]</f>
        <v>21.463414634146339</v>
      </c>
      <c r="P30"/>
      <c r="Q30"/>
      <c r="T30"/>
      <c r="U30"/>
      <c r="V30"/>
    </row>
    <row r="31" spans="2:22" s="15" customFormat="1" x14ac:dyDescent="0.25">
      <c r="B31" s="21" t="s">
        <v>27</v>
      </c>
      <c r="C31" s="17">
        <v>45791</v>
      </c>
      <c r="D31" s="16" t="s">
        <v>48</v>
      </c>
      <c r="E31" s="16"/>
      <c r="F31" s="16"/>
      <c r="G31" s="16"/>
      <c r="H31" s="18">
        <f t="shared" si="0"/>
        <v>0</v>
      </c>
      <c r="I31" s="18">
        <f t="shared" si="1"/>
        <v>0</v>
      </c>
      <c r="J31" s="18">
        <f>טבלה2[[#This Row],[מזוזות ביום]]*$D$8</f>
        <v>0</v>
      </c>
      <c r="K31" s="19">
        <f>טבלה2[[#This Row],[הכנסות נטו]]/$C$13</f>
        <v>0</v>
      </c>
      <c r="L31" s="19">
        <f>טבלה2[[#This Row],[הכנסות נטו]]/$C$12</f>
        <v>0</v>
      </c>
      <c r="M31" s="18">
        <f>$E$13-טבלה2[[#This Row],[שורות שכתבתי]]</f>
        <v>21.463414634146339</v>
      </c>
      <c r="P31"/>
      <c r="Q31"/>
      <c r="T31"/>
      <c r="U31"/>
      <c r="V31"/>
    </row>
    <row r="32" spans="2:22" s="15" customFormat="1" x14ac:dyDescent="0.25">
      <c r="B32" s="21" t="s">
        <v>30</v>
      </c>
      <c r="C32" s="17">
        <v>45792</v>
      </c>
      <c r="D32" s="16" t="s">
        <v>49</v>
      </c>
      <c r="E32" s="16"/>
      <c r="F32" s="16"/>
      <c r="G32" s="16"/>
      <c r="H32" s="18">
        <f t="shared" si="0"/>
        <v>0</v>
      </c>
      <c r="I32" s="18">
        <f t="shared" si="1"/>
        <v>0</v>
      </c>
      <c r="J32" s="18">
        <f>טבלה2[[#This Row],[מזוזות ביום]]*$D$8</f>
        <v>0</v>
      </c>
      <c r="K32" s="19">
        <f>טבלה2[[#This Row],[הכנסות נטו]]/$C$13</f>
        <v>0</v>
      </c>
      <c r="L32" s="19">
        <f>טבלה2[[#This Row],[הכנסות נטו]]/$C$12</f>
        <v>0</v>
      </c>
      <c r="M32" s="18">
        <f>$E$13-טבלה2[[#This Row],[שורות שכתבתי]]</f>
        <v>21.463414634146339</v>
      </c>
      <c r="P32"/>
      <c r="Q32"/>
      <c r="T32"/>
      <c r="U32"/>
      <c r="V32"/>
    </row>
    <row r="33" spans="2:23" s="15" customFormat="1" x14ac:dyDescent="0.25">
      <c r="B33" s="21" t="s">
        <v>33</v>
      </c>
      <c r="C33" s="17">
        <v>45793</v>
      </c>
      <c r="D33" s="16" t="s">
        <v>50</v>
      </c>
      <c r="E33" s="16"/>
      <c r="F33" s="16"/>
      <c r="G33" s="16"/>
      <c r="H33" s="18">
        <f t="shared" si="0"/>
        <v>0</v>
      </c>
      <c r="I33" s="18">
        <f t="shared" si="1"/>
        <v>0</v>
      </c>
      <c r="J33" s="18">
        <f>טבלה2[[#This Row],[מזוזות ביום]]*$D$8</f>
        <v>0</v>
      </c>
      <c r="K33" s="19">
        <f>טבלה2[[#This Row],[הכנסות נטו]]/$C$13</f>
        <v>0</v>
      </c>
      <c r="L33" s="19">
        <f>טבלה2[[#This Row],[הכנסות נטו]]/$C$12</f>
        <v>0</v>
      </c>
      <c r="M33" s="18">
        <f>$E$13-טבלה2[[#This Row],[שורות שכתבתי]]</f>
        <v>21.463414634146339</v>
      </c>
      <c r="P33"/>
      <c r="Q33"/>
      <c r="T33"/>
      <c r="U33"/>
      <c r="V33"/>
    </row>
    <row r="34" spans="2:23" s="15" customFormat="1" x14ac:dyDescent="0.25">
      <c r="B34" s="21" t="s">
        <v>36</v>
      </c>
      <c r="C34" s="17">
        <v>45795</v>
      </c>
      <c r="D34" s="16" t="s">
        <v>51</v>
      </c>
      <c r="E34" s="16"/>
      <c r="F34" s="16"/>
      <c r="G34" s="16"/>
      <c r="H34" s="18">
        <f t="shared" si="0"/>
        <v>0</v>
      </c>
      <c r="I34" s="18">
        <f t="shared" si="1"/>
        <v>0</v>
      </c>
      <c r="J34" s="18">
        <f>טבלה2[[#This Row],[מזוזות ביום]]*$D$8</f>
        <v>0</v>
      </c>
      <c r="K34" s="19">
        <f>טבלה2[[#This Row],[הכנסות נטו]]/$C$13</f>
        <v>0</v>
      </c>
      <c r="L34" s="19">
        <f>טבלה2[[#This Row],[הכנסות נטו]]/$C$12</f>
        <v>0</v>
      </c>
      <c r="M34" s="18">
        <f>$E$13-טבלה2[[#This Row],[שורות שכתבתי]]</f>
        <v>21.463414634146339</v>
      </c>
      <c r="P34"/>
      <c r="Q34"/>
      <c r="T34"/>
      <c r="U34"/>
      <c r="V34"/>
    </row>
    <row r="35" spans="2:23" s="15" customFormat="1" x14ac:dyDescent="0.25">
      <c r="B35" s="21" t="s">
        <v>39</v>
      </c>
      <c r="C35" s="17">
        <v>45796</v>
      </c>
      <c r="D35" s="16" t="s">
        <v>52</v>
      </c>
      <c r="E35" s="16"/>
      <c r="F35" s="16"/>
      <c r="G35" s="16"/>
      <c r="H35" s="18">
        <f t="shared" si="0"/>
        <v>0</v>
      </c>
      <c r="I35" s="18">
        <f t="shared" si="1"/>
        <v>0</v>
      </c>
      <c r="J35" s="18">
        <f>טבלה2[[#This Row],[מזוזות ביום]]*$D$8</f>
        <v>0</v>
      </c>
      <c r="K35" s="19">
        <f>טבלה2[[#This Row],[הכנסות נטו]]/$C$13</f>
        <v>0</v>
      </c>
      <c r="L35" s="19">
        <f>טבלה2[[#This Row],[הכנסות נטו]]/$C$12</f>
        <v>0</v>
      </c>
      <c r="M35" s="18">
        <f>$E$13-טבלה2[[#This Row],[שורות שכתבתי]]</f>
        <v>21.463414634146339</v>
      </c>
      <c r="P35"/>
      <c r="Q35"/>
      <c r="T35"/>
      <c r="U35"/>
      <c r="V35"/>
    </row>
    <row r="36" spans="2:23" s="15" customFormat="1" x14ac:dyDescent="0.25">
      <c r="B36" s="16" t="s">
        <v>24</v>
      </c>
      <c r="C36" s="17">
        <v>45797</v>
      </c>
      <c r="D36" s="16" t="s">
        <v>53</v>
      </c>
      <c r="E36" s="16"/>
      <c r="F36" s="16"/>
      <c r="G36" s="16"/>
      <c r="H36" s="18">
        <f t="shared" si="0"/>
        <v>0</v>
      </c>
      <c r="I36" s="18">
        <f t="shared" si="1"/>
        <v>0</v>
      </c>
      <c r="J36" s="18">
        <f>טבלה2[[#This Row],[מזוזות ביום]]*$D$8</f>
        <v>0</v>
      </c>
      <c r="K36" s="19">
        <f>טבלה2[[#This Row],[הכנסות נטו]]/$C$13</f>
        <v>0</v>
      </c>
      <c r="L36" s="19">
        <f>טבלה2[[#This Row],[הכנסות נטו]]/$C$12</f>
        <v>0</v>
      </c>
      <c r="M36" s="18">
        <f>$E$13-טבלה2[[#This Row],[שורות שכתבתי]]</f>
        <v>21.463414634146339</v>
      </c>
      <c r="P36"/>
      <c r="Q36"/>
      <c r="T36"/>
      <c r="U36"/>
      <c r="V36"/>
    </row>
    <row r="37" spans="2:23" s="15" customFormat="1" x14ac:dyDescent="0.25">
      <c r="B37" s="21" t="s">
        <v>27</v>
      </c>
      <c r="C37" s="17">
        <v>45798</v>
      </c>
      <c r="D37" s="16" t="s">
        <v>54</v>
      </c>
      <c r="E37" s="16"/>
      <c r="F37" s="16"/>
      <c r="G37" s="16"/>
      <c r="H37" s="18">
        <f t="shared" si="0"/>
        <v>0</v>
      </c>
      <c r="I37" s="18">
        <f t="shared" si="1"/>
        <v>0</v>
      </c>
      <c r="J37" s="18">
        <f>טבלה2[[#This Row],[מזוזות ביום]]*$D$8</f>
        <v>0</v>
      </c>
      <c r="K37" s="19">
        <f>טבלה2[[#This Row],[הכנסות נטו]]/$C$13</f>
        <v>0</v>
      </c>
      <c r="L37" s="19">
        <f>טבלה2[[#This Row],[הכנסות נטו]]/$C$12</f>
        <v>0</v>
      </c>
      <c r="M37" s="18">
        <f>$E$13-טבלה2[[#This Row],[שורות שכתבתי]]</f>
        <v>21.463414634146339</v>
      </c>
      <c r="P37"/>
      <c r="Q37"/>
      <c r="T37"/>
      <c r="U37"/>
      <c r="V37"/>
    </row>
    <row r="38" spans="2:23" s="15" customFormat="1" x14ac:dyDescent="0.25">
      <c r="B38" s="21" t="s">
        <v>30</v>
      </c>
      <c r="C38" s="17">
        <v>45799</v>
      </c>
      <c r="D38" s="16" t="s">
        <v>55</v>
      </c>
      <c r="E38" s="16"/>
      <c r="F38" s="16"/>
      <c r="G38" s="16"/>
      <c r="H38" s="18">
        <f t="shared" si="0"/>
        <v>0</v>
      </c>
      <c r="I38" s="18">
        <f t="shared" si="1"/>
        <v>0</v>
      </c>
      <c r="J38" s="18">
        <f>טבלה2[[#This Row],[מזוזות ביום]]*$D$8</f>
        <v>0</v>
      </c>
      <c r="K38" s="19">
        <f>טבלה2[[#This Row],[הכנסות נטו]]/$C$13</f>
        <v>0</v>
      </c>
      <c r="L38" s="19">
        <f>טבלה2[[#This Row],[הכנסות נטו]]/$C$12</f>
        <v>0</v>
      </c>
      <c r="M38" s="18">
        <f>$E$13-טבלה2[[#This Row],[שורות שכתבתי]]</f>
        <v>21.463414634146339</v>
      </c>
      <c r="P38"/>
      <c r="Q38"/>
      <c r="T38"/>
      <c r="U38"/>
      <c r="V38"/>
    </row>
    <row r="39" spans="2:23" s="15" customFormat="1" x14ac:dyDescent="0.25">
      <c r="B39" s="21" t="s">
        <v>33</v>
      </c>
      <c r="C39" s="17">
        <v>45800</v>
      </c>
      <c r="D39" s="16" t="s">
        <v>56</v>
      </c>
      <c r="E39" s="16"/>
      <c r="F39" s="16"/>
      <c r="G39" s="16"/>
      <c r="H39" s="18">
        <f t="shared" si="0"/>
        <v>0</v>
      </c>
      <c r="I39" s="18">
        <f t="shared" si="1"/>
        <v>0</v>
      </c>
      <c r="J39" s="18">
        <f>טבלה2[[#This Row],[מזוזות ביום]]*$D$8</f>
        <v>0</v>
      </c>
      <c r="K39" s="19">
        <f>טבלה2[[#This Row],[הכנסות נטו]]/$C$13</f>
        <v>0</v>
      </c>
      <c r="L39" s="19">
        <f>טבלה2[[#This Row],[הכנסות נטו]]/$C$12</f>
        <v>0</v>
      </c>
      <c r="M39" s="18">
        <f>$E$13-טבלה2[[#This Row],[שורות שכתבתי]]</f>
        <v>21.463414634146339</v>
      </c>
      <c r="P39"/>
      <c r="Q39"/>
      <c r="T39"/>
      <c r="U39"/>
      <c r="V39"/>
    </row>
    <row r="40" spans="2:23" s="15" customFormat="1" x14ac:dyDescent="0.25">
      <c r="B40" s="21" t="s">
        <v>36</v>
      </c>
      <c r="C40" s="17">
        <v>45802</v>
      </c>
      <c r="D40" s="16" t="s">
        <v>57</v>
      </c>
      <c r="E40" s="16"/>
      <c r="F40" s="16"/>
      <c r="G40" s="16"/>
      <c r="H40" s="18">
        <f t="shared" si="0"/>
        <v>0</v>
      </c>
      <c r="I40" s="18">
        <f t="shared" si="1"/>
        <v>0</v>
      </c>
      <c r="J40" s="18">
        <f>טבלה2[[#This Row],[מזוזות ביום]]*$D$8</f>
        <v>0</v>
      </c>
      <c r="K40" s="19">
        <f>טבלה2[[#This Row],[הכנסות נטו]]/$C$13</f>
        <v>0</v>
      </c>
      <c r="L40" s="19">
        <f>טבלה2[[#This Row],[הכנסות נטו]]/$C$12</f>
        <v>0</v>
      </c>
      <c r="M40" s="18">
        <f>$E$13-טבלה2[[#This Row],[שורות שכתבתי]]</f>
        <v>21.463414634146339</v>
      </c>
      <c r="P40"/>
      <c r="Q40"/>
      <c r="T40"/>
      <c r="U40"/>
      <c r="V40"/>
    </row>
    <row r="41" spans="2:23" s="15" customFormat="1" x14ac:dyDescent="0.25">
      <c r="B41" s="21" t="s">
        <v>39</v>
      </c>
      <c r="C41" s="17">
        <v>45803</v>
      </c>
      <c r="D41" s="21" t="s">
        <v>58</v>
      </c>
      <c r="E41" s="16"/>
      <c r="F41" s="16"/>
      <c r="G41" s="16"/>
      <c r="H41" s="18">
        <f t="shared" si="0"/>
        <v>0</v>
      </c>
      <c r="I41" s="18">
        <f t="shared" si="1"/>
        <v>0</v>
      </c>
      <c r="J41" s="18">
        <f>טבלה2[[#This Row],[מזוזות ביום]]*$D$8</f>
        <v>0</v>
      </c>
      <c r="K41" s="19">
        <f>טבלה2[[#This Row],[הכנסות נטו]]/$C$13</f>
        <v>0</v>
      </c>
      <c r="L41" s="19">
        <f>טבלה2[[#This Row],[הכנסות נטו]]/$C$12</f>
        <v>0</v>
      </c>
      <c r="M41" s="18">
        <f>$E$13-טבלה2[[#This Row],[שורות שכתבתי]]</f>
        <v>21.463414634146339</v>
      </c>
      <c r="P41"/>
      <c r="Q41"/>
      <c r="T41"/>
      <c r="U41"/>
      <c r="V41"/>
    </row>
    <row r="42" spans="2:23" s="15" customFormat="1" x14ac:dyDescent="0.25">
      <c r="B42" s="16" t="s">
        <v>24</v>
      </c>
      <c r="C42" s="17">
        <v>45804</v>
      </c>
      <c r="D42" s="16" t="s">
        <v>59</v>
      </c>
      <c r="E42" s="16"/>
      <c r="F42" s="16"/>
      <c r="G42" s="16"/>
      <c r="H42" s="18">
        <f t="shared" si="0"/>
        <v>0</v>
      </c>
      <c r="I42" s="18">
        <f t="shared" si="1"/>
        <v>0</v>
      </c>
      <c r="J42" s="18">
        <f>טבלה2[[#This Row],[מזוזות ביום]]*$D$8</f>
        <v>0</v>
      </c>
      <c r="K42" s="19">
        <f>טבלה2[[#This Row],[הכנסות נטו]]/$C$13</f>
        <v>0</v>
      </c>
      <c r="L42" s="19">
        <f>טבלה2[[#This Row],[הכנסות נטו]]/$C$12</f>
        <v>0</v>
      </c>
      <c r="M42" s="18">
        <f>$E$13-טבלה2[[#This Row],[שורות שכתבתי]]</f>
        <v>21.463414634146339</v>
      </c>
      <c r="P42"/>
      <c r="Q42"/>
      <c r="T42"/>
      <c r="U42"/>
      <c r="V42"/>
    </row>
    <row r="43" spans="2:23" s="15" customFormat="1" x14ac:dyDescent="0.25">
      <c r="B43" s="23" t="s">
        <v>60</v>
      </c>
      <c r="C43" s="23"/>
      <c r="D43" s="23"/>
      <c r="E43" s="23">
        <f>SUBTOTAL(109,טבלה2[שורות שכתבתי])</f>
        <v>80</v>
      </c>
      <c r="F43" s="23">
        <f>SUBTOTAL(109,טבלה2[שעות עבודה])</f>
        <v>10</v>
      </c>
      <c r="G43" s="23"/>
      <c r="H43" s="24">
        <f>SUBTOTAL(101,טבלה2[דקות לשורה])</f>
        <v>1.208</v>
      </c>
      <c r="I43" s="24">
        <f>SUBTOTAL(109,טבלה2[מזוזות ביום])</f>
        <v>3.6363636363636362</v>
      </c>
      <c r="J43" s="24">
        <f>SUBTOTAL(109,טבלה2[הכנסות נטו])</f>
        <v>1490.9090909090908</v>
      </c>
      <c r="K43" s="25">
        <f>AVERAGEIF(טבלה2[אחוז מהיעד היומי], "&gt;0")</f>
        <v>0.93181818181818177</v>
      </c>
      <c r="L43" s="25">
        <f>SUM(L18:L42)</f>
        <v>0.14909090909090908</v>
      </c>
      <c r="M43" s="24">
        <f>SUBTOTAL(109,טבלה2[נשאר להשלים])</f>
        <v>456.58536585365835</v>
      </c>
      <c r="P43"/>
      <c r="Q43"/>
      <c r="T43"/>
      <c r="U43"/>
      <c r="V43"/>
    </row>
    <row r="44" spans="2:23" s="15" customFormat="1" x14ac:dyDescent="0.25">
      <c r="B44" s="23"/>
      <c r="C44" s="23"/>
      <c r="D44" s="23"/>
      <c r="E44" s="23"/>
      <c r="F44" s="23"/>
      <c r="G44" s="23"/>
      <c r="H44" s="24"/>
      <c r="I44" s="24"/>
      <c r="J44" s="24"/>
      <c r="K44" s="24"/>
      <c r="L44" s="25"/>
      <c r="M44" s="25"/>
      <c r="N44" s="24"/>
      <c r="R44"/>
      <c r="U44"/>
      <c r="V44"/>
      <c r="W44"/>
    </row>
    <row r="45" spans="2:23" s="15" customFormat="1" x14ac:dyDescent="0.25">
      <c r="P45"/>
      <c r="Q45"/>
      <c r="R45"/>
    </row>
    <row r="46" spans="2:23" s="15" customFormat="1" x14ac:dyDescent="0.25"/>
    <row r="47" spans="2:23" s="15" customFormat="1" x14ac:dyDescent="0.25">
      <c r="P47" s="27"/>
      <c r="Q47" s="28"/>
    </row>
    <row r="48" spans="2:23" s="15" customFormat="1" x14ac:dyDescent="0.25"/>
    <row r="49" spans="2:14" s="15" customForma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2:14" s="15" customForma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2:14" s="15" customForma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</row>
  </sheetData>
  <sheetProtection sheet="1" formatCells="0" formatColumns="0" formatRows="0" insertColumns="0" insertRows="0" insertHyperlinks="0" deleteColumns="0" deleteRows="0" sort="0" autoFilter="0" pivotTables="0"/>
  <protectedRanges>
    <protectedRange sqref="B18:G42" name="טווח2"/>
    <protectedRange sqref="D3:D5 D7 D9 C4:C9 C12 H14:H15 C2" name="טווח1"/>
  </protectedRanges>
  <mergeCells count="2">
    <mergeCell ref="B15:C15"/>
    <mergeCell ref="C2:D2"/>
  </mergeCells>
  <conditionalFormatting sqref="L13">
    <cfRule type="expression" dxfId="3" priority="1">
      <formula>$L$13 &lt;1</formula>
    </cfRule>
    <cfRule type="expression" dxfId="2" priority="2">
      <formula>$L$13 &gt;1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828C2-30A3-4408-91FA-F60D5CA15907}">
  <sheetPr codeName="גיליון23">
    <pageSetUpPr fitToPage="1"/>
  </sheetPr>
  <dimension ref="A2:N99"/>
  <sheetViews>
    <sheetView showGridLines="0" rightToLeft="1" zoomScaleNormal="100" workbookViewId="0">
      <selection activeCell="E20" sqref="E20"/>
    </sheetView>
  </sheetViews>
  <sheetFormatPr defaultRowHeight="13.8" x14ac:dyDescent="0.25"/>
  <cols>
    <col min="1" max="1" width="5.3984375" customWidth="1"/>
    <col min="2" max="2" width="25.8984375" customWidth="1"/>
    <col min="3" max="3" width="11.59765625" customWidth="1"/>
    <col min="4" max="4" width="12.09765625" customWidth="1"/>
    <col min="5" max="5" width="18.09765625" customWidth="1"/>
    <col min="6" max="6" width="14.8984375" customWidth="1"/>
    <col min="7" max="7" width="17.09765625" customWidth="1"/>
    <col min="8" max="8" width="14.59765625" customWidth="1"/>
    <col min="9" max="9" width="12.09765625" customWidth="1"/>
    <col min="10" max="10" width="9.8984375" customWidth="1"/>
    <col min="11" max="11" width="12" customWidth="1"/>
    <col min="12" max="12" width="12.09765625" customWidth="1"/>
    <col min="13" max="13" width="14.3984375" customWidth="1"/>
  </cols>
  <sheetData>
    <row r="2" spans="2:10" ht="15.6" x14ac:dyDescent="0.3">
      <c r="B2" s="32" t="s">
        <v>80</v>
      </c>
      <c r="C2" s="33" t="s">
        <v>15</v>
      </c>
      <c r="D2" s="33" t="s">
        <v>88</v>
      </c>
      <c r="E2" s="33" t="s">
        <v>93</v>
      </c>
      <c r="F2" s="34" t="s">
        <v>87</v>
      </c>
      <c r="H2" s="62" t="s">
        <v>89</v>
      </c>
      <c r="I2" s="62"/>
      <c r="J2" s="62"/>
    </row>
    <row r="3" spans="2:10" x14ac:dyDescent="0.25">
      <c r="B3" s="35" t="s">
        <v>90</v>
      </c>
      <c r="C3" s="31"/>
      <c r="D3" s="31" t="s">
        <v>97</v>
      </c>
      <c r="E3" s="36">
        <v>300</v>
      </c>
      <c r="F3" s="37">
        <f>הכנסות_סתם[[#This Row],[הכנסה ברוטו]]-50</f>
        <v>250</v>
      </c>
      <c r="H3" s="63">
        <f>הכנסות_סתם[[#Totals],[הכנסה ברוטו]]-הוצאות_סתם_2[[#Totals],[הוצאות]]</f>
        <v>4700</v>
      </c>
      <c r="I3" s="63"/>
      <c r="J3" s="63"/>
    </row>
    <row r="4" spans="2:10" x14ac:dyDescent="0.25">
      <c r="B4" s="35" t="s">
        <v>92</v>
      </c>
      <c r="C4" s="38"/>
      <c r="D4" s="31" t="s">
        <v>98</v>
      </c>
      <c r="E4" s="36">
        <v>5000</v>
      </c>
      <c r="F4" s="37">
        <f>הכנסות_סתם[[#This Row],[הכנסה ברוטו]]-1000</f>
        <v>4000</v>
      </c>
      <c r="H4" s="63"/>
      <c r="I4" s="63"/>
      <c r="J4" s="63"/>
    </row>
    <row r="5" spans="2:10" x14ac:dyDescent="0.25">
      <c r="B5" s="35" t="s">
        <v>91</v>
      </c>
      <c r="C5" s="38"/>
      <c r="D5" s="31" t="s">
        <v>97</v>
      </c>
      <c r="E5" s="36">
        <v>6000</v>
      </c>
      <c r="F5" s="37">
        <f>הכנסות_סתם[[#This Row],[הכנסה ברוטו]]-1000</f>
        <v>5000</v>
      </c>
      <c r="H5" s="63"/>
      <c r="I5" s="63"/>
      <c r="J5" s="63"/>
    </row>
    <row r="6" spans="2:10" x14ac:dyDescent="0.25">
      <c r="B6" s="40" t="s">
        <v>99</v>
      </c>
      <c r="C6" s="38"/>
      <c r="D6" s="39" t="s">
        <v>98</v>
      </c>
      <c r="E6" s="36">
        <v>5000</v>
      </c>
      <c r="F6" s="37"/>
      <c r="H6" s="63"/>
      <c r="I6" s="63"/>
      <c r="J6" s="63"/>
    </row>
    <row r="7" spans="2:10" x14ac:dyDescent="0.25">
      <c r="B7" s="40" t="s">
        <v>100</v>
      </c>
      <c r="C7" s="38"/>
      <c r="D7" s="39"/>
      <c r="E7" s="36">
        <v>4000</v>
      </c>
      <c r="F7" s="37"/>
      <c r="H7" s="63"/>
      <c r="I7" s="63"/>
      <c r="J7" s="63"/>
    </row>
    <row r="8" spans="2:10" x14ac:dyDescent="0.25">
      <c r="B8" s="40" t="s">
        <v>100</v>
      </c>
      <c r="C8" s="38"/>
      <c r="D8" s="39"/>
      <c r="E8" s="36">
        <v>3000</v>
      </c>
      <c r="F8" s="37"/>
    </row>
    <row r="9" spans="2:10" x14ac:dyDescent="0.25">
      <c r="B9" s="40" t="s">
        <v>100</v>
      </c>
      <c r="C9" s="38"/>
      <c r="D9" s="39"/>
      <c r="E9" s="36">
        <v>4000</v>
      </c>
      <c r="F9" s="37"/>
    </row>
    <row r="10" spans="2:10" x14ac:dyDescent="0.25">
      <c r="B10" s="35" t="s">
        <v>60</v>
      </c>
      <c r="C10" s="41"/>
      <c r="D10" s="41"/>
      <c r="E10" s="42">
        <f>SUBTOTAL(109,הכנסות_סתם[הכנסה ברוטו])</f>
        <v>27300</v>
      </c>
      <c r="F10" s="43">
        <f>SUBTOTAL(109,הכנסות_סתם[הכנסה נטו])</f>
        <v>9250</v>
      </c>
    </row>
    <row r="12" spans="2:10" ht="15.6" x14ac:dyDescent="0.3">
      <c r="B12" s="32" t="s">
        <v>80</v>
      </c>
      <c r="C12" s="33" t="s">
        <v>15</v>
      </c>
      <c r="D12" s="34" t="s">
        <v>79</v>
      </c>
    </row>
    <row r="13" spans="2:10" x14ac:dyDescent="0.25">
      <c r="B13" s="44" t="s">
        <v>78</v>
      </c>
      <c r="C13" s="45"/>
      <c r="D13" s="37">
        <v>10000</v>
      </c>
      <c r="F13" s="51" t="s">
        <v>82</v>
      </c>
      <c r="G13" s="52" t="s">
        <v>81</v>
      </c>
    </row>
    <row r="14" spans="2:10" x14ac:dyDescent="0.25">
      <c r="B14" s="44" t="s">
        <v>77</v>
      </c>
      <c r="C14" s="45"/>
      <c r="D14" s="37">
        <v>2000</v>
      </c>
      <c r="F14" s="53" t="s">
        <v>86</v>
      </c>
      <c r="G14" s="54">
        <v>400</v>
      </c>
    </row>
    <row r="15" spans="2:10" x14ac:dyDescent="0.25">
      <c r="B15" s="44" t="s">
        <v>76</v>
      </c>
      <c r="C15" s="45"/>
      <c r="D15" s="37">
        <v>500</v>
      </c>
      <c r="F15" s="53" t="s">
        <v>85</v>
      </c>
      <c r="G15" s="54">
        <v>400</v>
      </c>
    </row>
    <row r="16" spans="2:10" x14ac:dyDescent="0.25">
      <c r="B16" s="44" t="s">
        <v>94</v>
      </c>
      <c r="C16" s="45"/>
      <c r="D16" s="37">
        <v>300</v>
      </c>
      <c r="F16" s="53" t="s">
        <v>84</v>
      </c>
      <c r="G16" s="55">
        <v>400</v>
      </c>
    </row>
    <row r="17" spans="2:14" x14ac:dyDescent="0.25">
      <c r="B17" s="44" t="s">
        <v>75</v>
      </c>
      <c r="C17" s="45"/>
      <c r="D17" s="37">
        <v>300</v>
      </c>
      <c r="F17" s="53" t="s">
        <v>83</v>
      </c>
      <c r="G17" s="54">
        <v>400</v>
      </c>
    </row>
    <row r="18" spans="2:14" x14ac:dyDescent="0.25">
      <c r="B18" s="44" t="s">
        <v>74</v>
      </c>
      <c r="C18" s="45"/>
      <c r="D18" s="37">
        <v>300</v>
      </c>
      <c r="F18" s="53"/>
      <c r="G18" s="54"/>
    </row>
    <row r="19" spans="2:14" x14ac:dyDescent="0.25">
      <c r="B19" s="44" t="s">
        <v>73</v>
      </c>
      <c r="C19" s="45"/>
      <c r="D19" s="37">
        <v>300</v>
      </c>
      <c r="F19" s="53"/>
      <c r="G19" s="54"/>
    </row>
    <row r="20" spans="2:14" x14ac:dyDescent="0.25">
      <c r="B20" s="44" t="s">
        <v>95</v>
      </c>
      <c r="C20" s="45"/>
      <c r="D20" s="37">
        <v>100</v>
      </c>
      <c r="F20" s="56" t="s">
        <v>60</v>
      </c>
      <c r="G20" s="55">
        <f>SUBTOTAL(109,חדר_סופרים[עמודה2])</f>
        <v>1600</v>
      </c>
    </row>
    <row r="21" spans="2:14" s="29" customFormat="1" x14ac:dyDescent="0.25">
      <c r="B21" s="44" t="s">
        <v>72</v>
      </c>
      <c r="C21" s="45"/>
      <c r="D21" s="37">
        <v>300</v>
      </c>
      <c r="E21"/>
      <c r="F21"/>
      <c r="G21"/>
      <c r="H21"/>
      <c r="I21"/>
      <c r="J21"/>
      <c r="K21"/>
      <c r="L21"/>
      <c r="M21"/>
      <c r="N21"/>
    </row>
    <row r="22" spans="2:14" x14ac:dyDescent="0.25">
      <c r="B22" s="44" t="s">
        <v>71</v>
      </c>
      <c r="C22" s="45"/>
      <c r="D22" s="37">
        <f>80+50+50+50+10+50+10</f>
        <v>300</v>
      </c>
    </row>
    <row r="23" spans="2:14" x14ac:dyDescent="0.25">
      <c r="B23" s="46" t="s">
        <v>70</v>
      </c>
      <c r="C23" s="45"/>
      <c r="D23" s="37">
        <v>200</v>
      </c>
      <c r="G23" s="30"/>
    </row>
    <row r="24" spans="2:14" x14ac:dyDescent="0.25">
      <c r="B24" s="44" t="s">
        <v>69</v>
      </c>
      <c r="C24" s="45"/>
      <c r="D24" s="37">
        <v>1000</v>
      </c>
      <c r="G24" s="30"/>
    </row>
    <row r="25" spans="2:14" x14ac:dyDescent="0.25">
      <c r="B25" s="46" t="s">
        <v>96</v>
      </c>
      <c r="C25" s="45"/>
      <c r="D25" s="37">
        <v>2000</v>
      </c>
    </row>
    <row r="26" spans="2:14" ht="14.1" customHeight="1" x14ac:dyDescent="0.25">
      <c r="B26" s="46" t="s">
        <v>66</v>
      </c>
      <c r="C26" s="45"/>
      <c r="D26" s="37">
        <v>200</v>
      </c>
    </row>
    <row r="27" spans="2:14" ht="14.1" customHeight="1" x14ac:dyDescent="0.25">
      <c r="B27" s="46" t="s">
        <v>68</v>
      </c>
      <c r="C27" s="49"/>
      <c r="D27" s="50">
        <v>2000</v>
      </c>
    </row>
    <row r="28" spans="2:14" ht="14.1" customHeight="1" x14ac:dyDescent="0.25">
      <c r="B28" s="46" t="s">
        <v>67</v>
      </c>
      <c r="C28" s="49"/>
      <c r="D28" s="50">
        <v>500</v>
      </c>
    </row>
    <row r="29" spans="2:14" ht="14.1" customHeight="1" x14ac:dyDescent="0.25">
      <c r="B29" s="46" t="s">
        <v>65</v>
      </c>
      <c r="C29" s="49"/>
      <c r="D29" s="50">
        <v>500</v>
      </c>
    </row>
    <row r="30" spans="2:14" ht="14.1" customHeight="1" x14ac:dyDescent="0.25">
      <c r="B30" s="46" t="s">
        <v>64</v>
      </c>
      <c r="C30" s="45"/>
      <c r="D30" s="37">
        <v>200</v>
      </c>
    </row>
    <row r="31" spans="2:14" ht="15" customHeight="1" x14ac:dyDescent="0.25">
      <c r="B31" s="46" t="s">
        <v>63</v>
      </c>
      <c r="C31" s="45"/>
      <c r="D31" s="37">
        <f>חדר_סופרים[[#Totals],[עמודה2]]</f>
        <v>1600</v>
      </c>
    </row>
    <row r="32" spans="2:14" x14ac:dyDescent="0.25">
      <c r="B32" s="47" t="s">
        <v>60</v>
      </c>
      <c r="C32" s="48"/>
      <c r="D32" s="43">
        <f>SUBTOTAL(109,הוצאות_סתם_2[הוצאות])</f>
        <v>22600</v>
      </c>
    </row>
    <row r="34" ht="14.1" customHeight="1" x14ac:dyDescent="0.25"/>
    <row r="35" ht="14.1" customHeight="1" x14ac:dyDescent="0.25"/>
    <row r="36" ht="15" customHeight="1" x14ac:dyDescent="0.25"/>
    <row r="37" ht="14.4" customHeight="1" x14ac:dyDescent="0.25"/>
    <row r="38" ht="14.1" customHeight="1" x14ac:dyDescent="0.25"/>
    <row r="39" ht="14.1" customHeight="1" x14ac:dyDescent="0.25"/>
    <row r="40" ht="14.1" customHeight="1" x14ac:dyDescent="0.25"/>
    <row r="41" ht="14.1" customHeight="1" x14ac:dyDescent="0.25"/>
    <row r="42" ht="14.1" customHeight="1" x14ac:dyDescent="0.25"/>
    <row r="43" ht="14.1" customHeight="1" x14ac:dyDescent="0.25"/>
    <row r="44" ht="14.1" customHeight="1" x14ac:dyDescent="0.25"/>
    <row r="45" ht="14.1" customHeight="1" x14ac:dyDescent="0.25"/>
    <row r="46" ht="14.1" customHeight="1" x14ac:dyDescent="0.25"/>
    <row r="47" ht="14.1" customHeight="1" x14ac:dyDescent="0.25"/>
    <row r="48" ht="14.1" customHeight="1" x14ac:dyDescent="0.25"/>
    <row r="49" ht="14.1" customHeight="1" x14ac:dyDescent="0.25"/>
    <row r="50" ht="14.1" customHeight="1" x14ac:dyDescent="0.25"/>
    <row r="51" ht="14.1" customHeight="1" x14ac:dyDescent="0.25"/>
    <row r="71" spans="1:11" s="29" customFormat="1" x14ac:dyDescent="0.25">
      <c r="A71"/>
      <c r="B71"/>
      <c r="C71"/>
      <c r="D71"/>
      <c r="E71"/>
      <c r="F71"/>
      <c r="H71"/>
      <c r="I71"/>
      <c r="J71"/>
      <c r="K71"/>
    </row>
    <row r="89" spans="7:7" x14ac:dyDescent="0.25">
      <c r="G89" s="29"/>
    </row>
    <row r="98" spans="7:8" x14ac:dyDescent="0.25">
      <c r="H98" s="29"/>
    </row>
    <row r="99" spans="7:8" x14ac:dyDescent="0.25">
      <c r="G99" s="29"/>
    </row>
  </sheetData>
  <mergeCells count="2">
    <mergeCell ref="H2:J2"/>
    <mergeCell ref="H3:J7"/>
  </mergeCells>
  <conditionalFormatting sqref="H3:J7">
    <cfRule type="cellIs" dxfId="1" priority="3" operator="greaterThan">
      <formula>0</formula>
    </cfRule>
    <cfRule type="cellIs" dxfId="0" priority="4" operator="lessThan">
      <formula>0</formula>
    </cfRule>
  </conditionalFormatting>
  <pageMargins left="0.25" right="0.25" top="0.75" bottom="0.75" header="0.3" footer="0.3"/>
  <pageSetup paperSize="9" scale="42" orientation="portrait" horizontalDpi="1200" verticalDpi="12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מעקב שעות עבודה סת"ם</vt:lpstr>
      <vt:lpstr>סיכום הכנסות סת"ם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חיים דוד משי זהב</dc:creator>
  <cp:lastModifiedBy>חיים דוד משי זהב</cp:lastModifiedBy>
  <dcterms:created xsi:type="dcterms:W3CDTF">2025-05-04T16:43:57Z</dcterms:created>
  <dcterms:modified xsi:type="dcterms:W3CDTF">2025-05-04T18:20:05Z</dcterms:modified>
</cp:coreProperties>
</file>